
<file path=[Content_Types].xml><?xml version="1.0" encoding="utf-8"?>
<Types xmlns="http://schemas.openxmlformats.org/package/2006/content-types">
  <Default Extension="xml" ContentType="application/xml"/>
  <Default Extension="png" ContentType="image/png"/>
  <Default Extension="gif" ContentType="image/gif"/>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7430"/>
  <workbookPr autoCompressPictures="0"/>
  <bookViews>
    <workbookView xWindow="560" yWindow="560" windowWidth="25040" windowHeight="15500"/>
  </bookViews>
  <sheets>
    <sheet name="Instructions" sheetId="19" r:id="rId1"/>
    <sheet name="TCO_INPUTS" sheetId="15" r:id="rId2"/>
    <sheet name="TCO_CALCULATIONS" sheetId="17" state="hidden" r:id="rId3"/>
    <sheet name="TCO_OUTPUT" sheetId="26" r:id="rId4"/>
    <sheet name="Assumptions--&gt;" sheetId="24" r:id="rId5"/>
    <sheet name="Dimagi Assumption Explanations " sheetId="27" r:id="rId6"/>
  </sheets>
  <externalReferences>
    <externalReference r:id="rId7"/>
    <externalReference r:id="rId8"/>
    <externalReference r:id="rId9"/>
    <externalReference r:id="rId10"/>
  </externalReferences>
  <definedNames>
    <definedName name="__shared_1_0_0" localSheetId="4">SUM(#REF!)</definedName>
    <definedName name="__shared_1_0_0" localSheetId="5">SUM(#REF!)</definedName>
    <definedName name="__shared_1_0_0" localSheetId="0">SUM(#REF!)</definedName>
    <definedName name="__shared_1_0_0">SUM(#REF!)</definedName>
    <definedName name="__shared_1_0_1" localSheetId="4">SUM(#REF!)</definedName>
    <definedName name="__shared_1_0_1" localSheetId="5">SUM(#REF!)</definedName>
    <definedName name="__shared_1_0_1" localSheetId="0">SUM(#REF!)</definedName>
    <definedName name="__shared_1_0_1">SUM(#REF!)</definedName>
    <definedName name="__shared_1_0_2" localSheetId="4">#REF!*0.022</definedName>
    <definedName name="__shared_1_0_2" localSheetId="5">#REF!*0.022</definedName>
    <definedName name="__shared_1_0_2" localSheetId="0">#REF!*0.022</definedName>
    <definedName name="__shared_1_0_2">#REF!*0.022</definedName>
    <definedName name="__shared_1_0_3" localSheetId="4">#REF!*0.022</definedName>
    <definedName name="__shared_1_0_3" localSheetId="5">#REF!*0.022</definedName>
    <definedName name="__shared_1_0_3">#REF!*0.022</definedName>
    <definedName name="__shared_1_0_4" localSheetId="4">#REF!-#REF!</definedName>
    <definedName name="__shared_1_0_4" localSheetId="5">#REF!-#REF!</definedName>
    <definedName name="__shared_1_0_4" localSheetId="0">#REF!-#REF!</definedName>
    <definedName name="__shared_1_0_4">#REF!-#REF!</definedName>
    <definedName name="__shared_1_0_5" localSheetId="4">#REF!-#REF!</definedName>
    <definedName name="__shared_1_0_5" localSheetId="5">#REF!-#REF!</definedName>
    <definedName name="__shared_1_0_5" localSheetId="0">#REF!-#REF!</definedName>
    <definedName name="__shared_1_0_5">#REF!-#REF!</definedName>
    <definedName name="asset_disc_table">'[1]$ Impact'!$G$65</definedName>
    <definedName name="asset_impact_id">'[1]$ Impact'!$G$64</definedName>
    <definedName name="Bal_controlid_start">'[1]$ Impact'!$B$26</definedName>
    <definedName name="cashflow_disc_table">'[1]$ Impact'!$G$86</definedName>
    <definedName name="cashflow_impact_id">'[1]$ Impact'!$G$85</definedName>
    <definedName name="control_ID">'[1]$ Impact'!$B$6</definedName>
    <definedName name="DataFields">'[2]Raw Data'!$I$1:$IV$1</definedName>
    <definedName name="ep" localSheetId="4">#REF!</definedName>
    <definedName name="ep" localSheetId="5">#REF!</definedName>
    <definedName name="ep" localSheetId="0">#REF!</definedName>
    <definedName name="ep">#REF!</definedName>
    <definedName name="epsilon_prime" localSheetId="4">#REF!</definedName>
    <definedName name="epsilon_prime" localSheetId="5">#REF!</definedName>
    <definedName name="epsilon_prime" localSheetId="0">#REF!</definedName>
    <definedName name="epsilon_prime">#REF!</definedName>
    <definedName name="Inc_controlid_start">'[1]$ Impact'!$B$45</definedName>
    <definedName name="initial_spread_predicted_high" localSheetId="4">'[3]wvol x Vol+b  (All)'!#REF!</definedName>
    <definedName name="initial_spread_predicted_high" localSheetId="5">'[3]wvol x Vol+b  (All)'!#REF!</definedName>
    <definedName name="initial_spread_predicted_high" localSheetId="0">'[3]wvol x Vol+b  (All)'!#REF!</definedName>
    <definedName name="initial_spread_predicted_high">'[3]wvol x Vol+b  (All)'!#REF!</definedName>
    <definedName name="initial_spread_predicted_low2" localSheetId="4">'[3]wvol x Vol+b  (All)'!#REF!</definedName>
    <definedName name="initial_spread_predicted_low2" localSheetId="5">'[3]wvol x Vol+b  (All)'!#REF!</definedName>
    <definedName name="initial_spread_predicted_low2" localSheetId="0">'[3]wvol x Vol+b  (All)'!#REF!</definedName>
    <definedName name="initial_spread_predicted_low2">'[3]wvol x Vol+b  (All)'!#REF!</definedName>
    <definedName name="initial_spread_predicted_mid" localSheetId="4">'[3]wvol x Vol+b  (All)'!#REF!</definedName>
    <definedName name="initial_spread_predicted_mid" localSheetId="5">'[3]wvol x Vol+b  (All)'!#REF!</definedName>
    <definedName name="initial_spread_predicted_mid" localSheetId="0">'[3]wvol x Vol+b  (All)'!#REF!</definedName>
    <definedName name="initial_spread_predicted_mid">'[3]wvol x Vol+b  (All)'!#REF!</definedName>
    <definedName name="InitIRDMarg" localSheetId="4">'[4]Other Assumptions'!#REF!</definedName>
    <definedName name="InitIRDMarg" localSheetId="5">'[4]Other Assumptions'!#REF!</definedName>
    <definedName name="InitIRDMarg" localSheetId="0">'[4]Other Assumptions'!#REF!</definedName>
    <definedName name="InitIRDMarg">'[4]Other Assumptions'!#REF!</definedName>
    <definedName name="Output" localSheetId="4">#REF!</definedName>
    <definedName name="Output" localSheetId="5">#REF!</definedName>
    <definedName name="Output" localSheetId="0">#REF!</definedName>
    <definedName name="Output">#REF!</definedName>
    <definedName name="_xlnm.Print_Area" localSheetId="5">'Dimagi Assumption Explanations '!$A$7:$K$89</definedName>
    <definedName name="_xlnm.Print_Area" localSheetId="0">Instructions!$A$1:$N$35</definedName>
    <definedName name="_xlnm.Print_Area" localSheetId="2">TCO_OUTPUT!$A$1:$X$53</definedName>
    <definedName name="_xlnm.Print_Area" localSheetId="1">TCO_INPUTS!$B$7:$N$88</definedName>
    <definedName name="_xlnm.Print_Area" localSheetId="3">TCO_OUTPUT!$A$1:$X$53</definedName>
    <definedName name="tester" localSheetId="4">#REF!</definedName>
    <definedName name="tester" localSheetId="5">#REF!</definedName>
    <definedName name="tester" localSheetId="0">#REF!</definedName>
    <definedName name="tester">#REF!</definedName>
  </definedName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I85" i="15" l="1"/>
  <c r="H85" i="15"/>
  <c r="G85" i="15"/>
  <c r="F85" i="15"/>
  <c r="E85" i="15"/>
  <c r="F86" i="15"/>
  <c r="F87" i="15"/>
  <c r="H86" i="15"/>
  <c r="I86" i="15"/>
  <c r="G82" i="15"/>
  <c r="G86" i="15"/>
  <c r="E86" i="15"/>
  <c r="F82" i="15"/>
  <c r="H82" i="15"/>
  <c r="I82" i="15"/>
  <c r="E82" i="15"/>
  <c r="F31" i="26"/>
  <c r="H31" i="26"/>
  <c r="G31" i="26"/>
  <c r="H30" i="26"/>
  <c r="G30" i="26"/>
  <c r="F30" i="26"/>
  <c r="H29" i="26"/>
  <c r="G29" i="26"/>
  <c r="F29" i="26"/>
  <c r="H28" i="26"/>
  <c r="G28" i="26"/>
  <c r="F28" i="26"/>
  <c r="H27" i="26"/>
  <c r="G27" i="26"/>
  <c r="F27" i="26"/>
  <c r="H26" i="26"/>
  <c r="G26" i="26"/>
  <c r="F26" i="26"/>
  <c r="H20" i="26"/>
  <c r="G20" i="26"/>
  <c r="F20" i="26"/>
  <c r="H19" i="26"/>
  <c r="G19" i="26"/>
  <c r="F19" i="26"/>
  <c r="H18" i="26"/>
  <c r="G18" i="26"/>
  <c r="F18" i="26"/>
  <c r="H17" i="26"/>
  <c r="G17" i="26"/>
  <c r="F17" i="26"/>
  <c r="H16" i="26"/>
  <c r="G16" i="26"/>
  <c r="F16" i="26"/>
  <c r="H15" i="26"/>
  <c r="G15" i="26"/>
  <c r="F15" i="26"/>
  <c r="H14" i="26"/>
  <c r="G14" i="26"/>
  <c r="F14" i="26"/>
  <c r="H13" i="26"/>
  <c r="G13" i="26"/>
  <c r="F13" i="26"/>
  <c r="H12" i="26"/>
  <c r="G12" i="26"/>
  <c r="F12" i="26"/>
  <c r="H10" i="26"/>
  <c r="G10" i="26"/>
  <c r="F10" i="26"/>
  <c r="H9" i="26"/>
  <c r="G9" i="26"/>
  <c r="F9" i="26"/>
  <c r="D41" i="26"/>
  <c r="H18" i="17"/>
  <c r="I28" i="17"/>
  <c r="I22" i="17"/>
  <c r="I19" i="17"/>
  <c r="I81" i="15"/>
  <c r="J18" i="17"/>
  <c r="H81" i="15"/>
  <c r="H87" i="15"/>
  <c r="G21" i="26"/>
  <c r="K9" i="17"/>
  <c r="K10" i="17"/>
  <c r="K11" i="17"/>
  <c r="K12" i="17"/>
  <c r="J9" i="17"/>
  <c r="K18" i="17"/>
  <c r="J10" i="17"/>
  <c r="K19" i="17"/>
  <c r="J11" i="17"/>
  <c r="K20" i="17"/>
  <c r="J12" i="17"/>
  <c r="K21" i="17"/>
  <c r="G11" i="26"/>
  <c r="G23" i="26"/>
  <c r="K28" i="17"/>
  <c r="J29" i="17"/>
  <c r="K29" i="17"/>
  <c r="J30" i="17"/>
  <c r="K30" i="17"/>
  <c r="J31" i="17"/>
  <c r="K31" i="17"/>
  <c r="K27" i="17"/>
  <c r="D28" i="17"/>
  <c r="J33" i="17"/>
  <c r="K33" i="17"/>
  <c r="J34" i="17"/>
  <c r="K34" i="17"/>
  <c r="J35" i="17"/>
  <c r="K35" i="17"/>
  <c r="G32" i="26"/>
  <c r="G34" i="26"/>
  <c r="F81" i="15"/>
  <c r="G81" i="15"/>
  <c r="E81" i="15"/>
  <c r="G79" i="15"/>
  <c r="D32" i="17"/>
  <c r="D31" i="26"/>
  <c r="E31" i="26"/>
  <c r="I12" i="17"/>
  <c r="H12" i="17"/>
  <c r="H35" i="17"/>
  <c r="I35" i="17"/>
  <c r="H9" i="17"/>
  <c r="H11" i="17"/>
  <c r="H34" i="17"/>
  <c r="I9" i="17"/>
  <c r="I11" i="17"/>
  <c r="I34" i="17"/>
  <c r="L9" i="17"/>
  <c r="L11" i="17"/>
  <c r="L34" i="17"/>
  <c r="L12" i="17"/>
  <c r="L35" i="17"/>
  <c r="H10" i="17"/>
  <c r="H33" i="17"/>
  <c r="I10" i="17"/>
  <c r="I33" i="17"/>
  <c r="L10" i="17"/>
  <c r="L33" i="17"/>
  <c r="H28" i="17"/>
  <c r="H29" i="17"/>
  <c r="H30" i="17"/>
  <c r="H31" i="17"/>
  <c r="H27" i="17"/>
  <c r="G71" i="15"/>
  <c r="D27" i="17"/>
  <c r="D26" i="26"/>
  <c r="D27" i="26"/>
  <c r="D28" i="26"/>
  <c r="D29" i="26"/>
  <c r="D30" i="26"/>
  <c r="D32" i="26"/>
  <c r="E30" i="26"/>
  <c r="E29" i="26"/>
  <c r="E28" i="26"/>
  <c r="L32" i="17"/>
  <c r="K32" i="17"/>
  <c r="J32" i="17"/>
  <c r="I32" i="17"/>
  <c r="H32" i="17"/>
  <c r="I31" i="17"/>
  <c r="L31" i="17"/>
  <c r="I30" i="17"/>
  <c r="L30" i="17"/>
  <c r="I29" i="17"/>
  <c r="L29" i="17"/>
  <c r="B26" i="17"/>
  <c r="L37" i="17"/>
  <c r="K37" i="17"/>
  <c r="J37" i="17"/>
  <c r="I37" i="17"/>
  <c r="H37" i="17"/>
  <c r="I20" i="17"/>
  <c r="I18" i="17"/>
  <c r="L28" i="17"/>
  <c r="L27" i="17"/>
  <c r="J28" i="17"/>
  <c r="J27" i="17"/>
  <c r="I27" i="17"/>
  <c r="G66" i="15"/>
  <c r="D22" i="17"/>
  <c r="E20" i="26"/>
  <c r="D20" i="26"/>
  <c r="E86" i="27"/>
  <c r="F86" i="27"/>
  <c r="D86" i="27"/>
  <c r="F87" i="27"/>
  <c r="F88" i="27"/>
  <c r="E87" i="27"/>
  <c r="E88" i="27"/>
  <c r="D87" i="27"/>
  <c r="D88" i="27"/>
  <c r="F81" i="27"/>
  <c r="F73" i="27"/>
  <c r="F68" i="27"/>
  <c r="F63" i="27"/>
  <c r="F57" i="27"/>
  <c r="F51" i="27"/>
  <c r="F45" i="27"/>
  <c r="G43" i="15"/>
  <c r="D9" i="17"/>
  <c r="D9" i="26"/>
  <c r="G49" i="15"/>
  <c r="D10" i="17"/>
  <c r="G55" i="15"/>
  <c r="D11" i="17"/>
  <c r="G61" i="15"/>
  <c r="D12" i="17"/>
  <c r="D10" i="26"/>
  <c r="D42" i="26"/>
  <c r="D14" i="17"/>
  <c r="D12" i="26"/>
  <c r="D15" i="17"/>
  <c r="D13" i="26"/>
  <c r="D16" i="17"/>
  <c r="D14" i="26"/>
  <c r="D17" i="17"/>
  <c r="D15" i="26"/>
  <c r="D18" i="17"/>
  <c r="D16" i="26"/>
  <c r="H19" i="17"/>
  <c r="D19" i="17"/>
  <c r="D17" i="26"/>
  <c r="H20" i="17"/>
  <c r="D20" i="17"/>
  <c r="D18" i="26"/>
  <c r="H21" i="17"/>
  <c r="D21" i="17"/>
  <c r="D19" i="26"/>
  <c r="D11" i="26"/>
  <c r="D43" i="26"/>
  <c r="D29" i="17"/>
  <c r="D30" i="17"/>
  <c r="D44" i="26"/>
  <c r="D45" i="26"/>
  <c r="E87" i="15"/>
  <c r="D21" i="26"/>
  <c r="D46" i="26"/>
  <c r="D48" i="26"/>
  <c r="E9" i="26"/>
  <c r="E41" i="26"/>
  <c r="E10" i="26"/>
  <c r="E42" i="26"/>
  <c r="E12" i="26"/>
  <c r="E13" i="26"/>
  <c r="E14" i="26"/>
  <c r="E15" i="26"/>
  <c r="E16" i="26"/>
  <c r="E17" i="26"/>
  <c r="E18" i="26"/>
  <c r="I21" i="17"/>
  <c r="E19" i="26"/>
  <c r="E11" i="26"/>
  <c r="E43" i="26"/>
  <c r="E26" i="26"/>
  <c r="E27" i="26"/>
  <c r="D31" i="17"/>
  <c r="E32" i="26"/>
  <c r="E44" i="26"/>
  <c r="E45" i="26"/>
  <c r="E21" i="26"/>
  <c r="E46" i="26"/>
  <c r="E48" i="26"/>
  <c r="F41" i="26"/>
  <c r="F42" i="26"/>
  <c r="J19" i="17"/>
  <c r="J20" i="17"/>
  <c r="J21" i="17"/>
  <c r="F11" i="26"/>
  <c r="F43" i="26"/>
  <c r="F32" i="26"/>
  <c r="F44" i="26"/>
  <c r="F45" i="26"/>
  <c r="G87" i="15"/>
  <c r="F21" i="26"/>
  <c r="F46" i="26"/>
  <c r="F48" i="26"/>
  <c r="G41" i="26"/>
  <c r="G42" i="26"/>
  <c r="G43" i="26"/>
  <c r="G44" i="26"/>
  <c r="G45" i="26"/>
  <c r="G46" i="26"/>
  <c r="G48" i="26"/>
  <c r="H41" i="26"/>
  <c r="H42" i="26"/>
  <c r="L18" i="17"/>
  <c r="L19" i="17"/>
  <c r="L20" i="17"/>
  <c r="L21" i="17"/>
  <c r="H11" i="26"/>
  <c r="H43" i="26"/>
  <c r="H32" i="26"/>
  <c r="H44" i="26"/>
  <c r="H45" i="26"/>
  <c r="I87" i="15"/>
  <c r="H21" i="26"/>
  <c r="H46" i="26"/>
  <c r="H48" i="26"/>
  <c r="I48" i="26"/>
  <c r="I50" i="26"/>
  <c r="L22" i="17"/>
  <c r="K22" i="17"/>
  <c r="J22" i="17"/>
  <c r="H22" i="17"/>
  <c r="L7" i="17"/>
  <c r="H7" i="26"/>
  <c r="H57" i="26"/>
  <c r="K7" i="17"/>
  <c r="G7" i="26"/>
  <c r="G57" i="26"/>
  <c r="J7" i="17"/>
  <c r="F7" i="26"/>
  <c r="F57" i="26"/>
  <c r="I7" i="17"/>
  <c r="E7" i="26"/>
  <c r="E57" i="26"/>
  <c r="H7" i="17"/>
  <c r="D7" i="26"/>
  <c r="D57" i="26"/>
  <c r="H71" i="26"/>
  <c r="H70" i="26"/>
  <c r="H61" i="26"/>
  <c r="H59" i="26"/>
  <c r="H60" i="26"/>
  <c r="H73" i="26"/>
  <c r="H76" i="26"/>
  <c r="H77" i="26"/>
  <c r="H78" i="26"/>
  <c r="H79" i="26"/>
  <c r="H80" i="26"/>
  <c r="H81" i="26"/>
  <c r="H83" i="26"/>
  <c r="H85" i="26"/>
  <c r="G71" i="26"/>
  <c r="G70" i="26"/>
  <c r="G61" i="26"/>
  <c r="G59" i="26"/>
  <c r="G60" i="26"/>
  <c r="G73" i="26"/>
  <c r="G76" i="26"/>
  <c r="G77" i="26"/>
  <c r="G78" i="26"/>
  <c r="G79" i="26"/>
  <c r="G80" i="26"/>
  <c r="G81" i="26"/>
  <c r="G83" i="26"/>
  <c r="G85" i="26"/>
  <c r="F71" i="26"/>
  <c r="F70" i="26"/>
  <c r="F61" i="26"/>
  <c r="F59" i="26"/>
  <c r="F60" i="26"/>
  <c r="F73" i="26"/>
  <c r="F76" i="26"/>
  <c r="F77" i="26"/>
  <c r="F78" i="26"/>
  <c r="F79" i="26"/>
  <c r="F80" i="26"/>
  <c r="F81" i="26"/>
  <c r="F83" i="26"/>
  <c r="F85" i="26"/>
  <c r="E71" i="26"/>
  <c r="E70" i="26"/>
  <c r="E61" i="26"/>
  <c r="E59" i="26"/>
  <c r="E60" i="26"/>
  <c r="E73" i="26"/>
  <c r="E76" i="26"/>
  <c r="E77" i="26"/>
  <c r="E78" i="26"/>
  <c r="E79" i="26"/>
  <c r="E80" i="26"/>
  <c r="E81" i="26"/>
  <c r="E83" i="26"/>
  <c r="E85" i="26"/>
  <c r="D71" i="26"/>
  <c r="D70" i="26"/>
  <c r="D61" i="26"/>
  <c r="D59" i="26"/>
  <c r="D60" i="26"/>
  <c r="D73" i="26"/>
  <c r="D76" i="26"/>
  <c r="D77" i="26"/>
  <c r="D78" i="26"/>
  <c r="D79" i="26"/>
  <c r="D80" i="26"/>
  <c r="D81" i="26"/>
  <c r="D83" i="26"/>
  <c r="D85" i="26"/>
  <c r="B81" i="26"/>
  <c r="B80" i="26"/>
  <c r="B79" i="26"/>
  <c r="B78" i="26"/>
  <c r="B77" i="26"/>
  <c r="F27" i="17"/>
  <c r="B26" i="26"/>
  <c r="B76" i="26"/>
  <c r="E62" i="26"/>
  <c r="F62" i="26"/>
  <c r="G62" i="26"/>
  <c r="H62" i="26"/>
  <c r="E63" i="26"/>
  <c r="F63" i="26"/>
  <c r="G63" i="26"/>
  <c r="H63" i="26"/>
  <c r="E64" i="26"/>
  <c r="F64" i="26"/>
  <c r="G64" i="26"/>
  <c r="H64" i="26"/>
  <c r="E65" i="26"/>
  <c r="F65" i="26"/>
  <c r="G65" i="26"/>
  <c r="H65" i="26"/>
  <c r="E66" i="26"/>
  <c r="F66" i="26"/>
  <c r="G66" i="26"/>
  <c r="H66" i="26"/>
  <c r="E67" i="26"/>
  <c r="F67" i="26"/>
  <c r="G67" i="26"/>
  <c r="H67" i="26"/>
  <c r="E68" i="26"/>
  <c r="F68" i="26"/>
  <c r="G68" i="26"/>
  <c r="H68" i="26"/>
  <c r="E69" i="26"/>
  <c r="F69" i="26"/>
  <c r="G69" i="26"/>
  <c r="H69" i="26"/>
  <c r="D62" i="26"/>
  <c r="D63" i="26"/>
  <c r="D64" i="26"/>
  <c r="D65" i="26"/>
  <c r="D66" i="26"/>
  <c r="D67" i="26"/>
  <c r="D68" i="26"/>
  <c r="D69" i="26"/>
  <c r="I83" i="26"/>
  <c r="I81" i="26"/>
  <c r="I80" i="26"/>
  <c r="I79" i="26"/>
  <c r="I78" i="26"/>
  <c r="I77" i="26"/>
  <c r="I76" i="26"/>
  <c r="I73" i="26"/>
  <c r="I72" i="26"/>
  <c r="I71" i="26"/>
  <c r="I70" i="26"/>
  <c r="I69" i="26"/>
  <c r="I68" i="26"/>
  <c r="I67" i="26"/>
  <c r="I66" i="26"/>
  <c r="I64" i="26"/>
  <c r="I63" i="26"/>
  <c r="I62" i="26"/>
  <c r="I61" i="26"/>
  <c r="I60" i="26"/>
  <c r="I59" i="26"/>
  <c r="I41" i="26"/>
  <c r="J41" i="26"/>
  <c r="I46" i="26"/>
  <c r="I45" i="26"/>
  <c r="I44" i="26"/>
  <c r="I43" i="26"/>
  <c r="I42" i="26"/>
  <c r="B46" i="26"/>
  <c r="D23" i="26"/>
  <c r="D34" i="26"/>
  <c r="D36" i="26"/>
  <c r="I19" i="26"/>
  <c r="C11" i="17"/>
  <c r="J48" i="26"/>
  <c r="J46" i="26"/>
  <c r="J45" i="26"/>
  <c r="B45" i="26"/>
  <c r="J44" i="26"/>
  <c r="B44" i="26"/>
  <c r="J43" i="26"/>
  <c r="B43" i="26"/>
  <c r="J42" i="26"/>
  <c r="B42" i="26"/>
  <c r="B41" i="26"/>
  <c r="H40" i="26"/>
  <c r="G40" i="26"/>
  <c r="F40" i="26"/>
  <c r="E40" i="26"/>
  <c r="D40" i="26"/>
  <c r="H23" i="26"/>
  <c r="H34" i="26"/>
  <c r="H36" i="26"/>
  <c r="G36" i="26"/>
  <c r="F23" i="26"/>
  <c r="F34" i="26"/>
  <c r="F36" i="26"/>
  <c r="E23" i="26"/>
  <c r="E34" i="26"/>
  <c r="E36" i="26"/>
  <c r="I34" i="26"/>
  <c r="I32" i="26"/>
  <c r="I31" i="26"/>
  <c r="I29" i="26"/>
  <c r="I28" i="26"/>
  <c r="I27" i="26"/>
  <c r="I26" i="26"/>
  <c r="I23" i="26"/>
  <c r="I21" i="26"/>
  <c r="I20" i="26"/>
  <c r="I18" i="26"/>
  <c r="I17" i="26"/>
  <c r="I16" i="26"/>
  <c r="I14" i="26"/>
  <c r="I13" i="26"/>
  <c r="I12" i="26"/>
  <c r="I11" i="26"/>
  <c r="I10" i="26"/>
  <c r="I9" i="26"/>
  <c r="C27" i="17"/>
  <c r="C28" i="17"/>
  <c r="C32" i="17"/>
  <c r="C30" i="17"/>
  <c r="C29" i="17"/>
  <c r="C23" i="17"/>
  <c r="C22" i="17"/>
  <c r="C12" i="17"/>
  <c r="C10" i="17"/>
  <c r="C9" i="17"/>
  <c r="C8" i="17"/>
</calcChain>
</file>

<file path=xl/comments1.xml><?xml version="1.0" encoding="utf-8"?>
<comments xmlns="http://schemas.openxmlformats.org/spreadsheetml/2006/main">
  <authors>
    <author>Audrey Philippot</author>
  </authors>
  <commentList>
    <comment ref="C85" authorId="0">
      <text>
        <r>
          <rPr>
            <sz val="9"/>
            <color indexed="81"/>
            <rFont val="Calibri"/>
            <family val="2"/>
          </rPr>
          <t xml:space="preserve">
Enterprise pricing depends on the number of project spaces included. The amount mentioned here would only be an illustrative , if you have selected "Enterprise" in row 15</t>
        </r>
      </text>
    </comment>
  </commentList>
</comments>
</file>

<file path=xl/comments2.xml><?xml version="1.0" encoding="utf-8"?>
<comments xmlns="http://schemas.openxmlformats.org/spreadsheetml/2006/main">
  <authors>
    <author>Audrey Philippot</author>
  </authors>
  <commentList>
    <comment ref="B10" authorId="0">
      <text>
        <r>
          <rPr>
            <b/>
            <sz val="9"/>
            <color indexed="81"/>
            <rFont val="Calibri"/>
            <family val="2"/>
          </rPr>
          <t>Audrey Philippot:</t>
        </r>
        <r>
          <rPr>
            <sz val="9"/>
            <color indexed="81"/>
            <rFont val="Calibri"/>
            <family val="2"/>
          </rPr>
          <t xml:space="preserve">
Project Manager, Field Manager, [Insert type] staff</t>
        </r>
      </text>
    </comment>
  </commentList>
</comments>
</file>

<file path=xl/sharedStrings.xml><?xml version="1.0" encoding="utf-8"?>
<sst xmlns="http://schemas.openxmlformats.org/spreadsheetml/2006/main" count="544" uniqueCount="285">
  <si>
    <t>Operating Costs</t>
  </si>
  <si>
    <t>Year 1</t>
  </si>
  <si>
    <t>Year 2</t>
  </si>
  <si>
    <t>Year 3</t>
  </si>
  <si>
    <t>Year 4</t>
  </si>
  <si>
    <t>Year 5</t>
  </si>
  <si>
    <t>TOTAL OPEX</t>
  </si>
  <si>
    <t>Capital/Equipment Costs</t>
  </si>
  <si>
    <t>Unit type</t>
  </si>
  <si>
    <t># of Units</t>
  </si>
  <si>
    <t>days per year</t>
  </si>
  <si>
    <t>%</t>
  </si>
  <si>
    <t>monthly</t>
  </si>
  <si>
    <t>per unit</t>
  </si>
  <si>
    <t>Cost / unit (USD)</t>
  </si>
  <si>
    <t>Units</t>
  </si>
  <si>
    <t>TOTAL</t>
  </si>
  <si>
    <t>Operaciones en escala</t>
  </si>
  <si>
    <t>COSTOS DETALLADOS PROYECTADOS</t>
  </si>
  <si>
    <t>Costo de capacitaciones anuales</t>
  </si>
  <si>
    <t>Costos de Operación por Mes</t>
  </si>
  <si>
    <t>(Insertar otro)</t>
  </si>
  <si>
    <t>Por Administrador de Proyecto</t>
  </si>
  <si>
    <t>Por Personal de Campo</t>
  </si>
  <si>
    <t>Internet en la oficina</t>
  </si>
  <si>
    <t xml:space="preserve"> Equipo/gastos de capital</t>
  </si>
  <si>
    <t>Total</t>
  </si>
  <si>
    <t>Office expenses</t>
  </si>
  <si>
    <t>Office equipment</t>
  </si>
  <si>
    <t>NEW users for training</t>
  </si>
  <si>
    <t>Total number of project manager</t>
  </si>
  <si>
    <t>Total number of field staff</t>
  </si>
  <si>
    <t>NEW project managers for training</t>
  </si>
  <si>
    <t>NEW Field staff for training</t>
  </si>
  <si>
    <t>Solar equipment for device charging</t>
  </si>
  <si>
    <t>Field staff</t>
  </si>
  <si>
    <t>TOTAL COSTS PER YEAR</t>
  </si>
  <si>
    <t xml:space="preserve">ANNUAL AVERAGE </t>
  </si>
  <si>
    <t>I</t>
  </si>
  <si>
    <t>TOTAL ANNUAL UNITS</t>
  </si>
  <si>
    <t>I
I
I</t>
  </si>
  <si>
    <t>TOTAL COSTS</t>
  </si>
  <si>
    <t>Project Managers</t>
  </si>
  <si>
    <t>TOTAL # OF MOBILE USERS</t>
  </si>
  <si>
    <t>COSTS per UNIT</t>
  </si>
  <si>
    <t>Training - Existing Project Managers</t>
  </si>
  <si>
    <t>Training - Existing Field Staff</t>
  </si>
  <si>
    <t>Training - NEW Project Managers</t>
  </si>
  <si>
    <t>Training - NEW Field Staff</t>
  </si>
  <si>
    <t>COSTS Per UNIT</t>
  </si>
  <si>
    <t># of beneficiaries</t>
  </si>
  <si>
    <t>Scale of Operations</t>
  </si>
  <si>
    <t>Explanation of Data Field</t>
  </si>
  <si>
    <t>Explanation of Assumption</t>
  </si>
  <si>
    <t xml:space="preserve">The partner should fill in projection. </t>
  </si>
  <si>
    <t>DETAILED PROJECTED COSTS</t>
  </si>
  <si>
    <t>Attrition Rate</t>
  </si>
  <si>
    <t># of units: Sample of Surveys from partners in India.</t>
  </si>
  <si>
    <t>Initial training days</t>
  </si>
  <si>
    <t>Recurring training days</t>
  </si>
  <si>
    <t>Days required for initial training of Project Managers on relevant CommCare aspects (e.g. CommCareHQ).</t>
  </si>
  <si>
    <t>Days required per year for re-training (for Project Managers) of skills learned during the intial training.</t>
  </si>
  <si>
    <t>Per Field Staff</t>
  </si>
  <si>
    <t>Days required for initial training of Field Staff in CommCare Mobile and CommCareHQ.</t>
  </si>
  <si>
    <t>Days required per year for re-training (for Field Staff) of skills learned during the intial training.</t>
  </si>
  <si>
    <t>Monthly Operating Costs</t>
  </si>
  <si>
    <t>(Insert other)</t>
  </si>
  <si>
    <t>Per Project Manager</t>
  </si>
  <si>
    <t>The annual salary, including benefits, for the Project Manager.</t>
  </si>
  <si>
    <t>Site visit/Transport costs</t>
  </si>
  <si>
    <t>The site travel and transportation costs required by the Project Manager to visit the project site.</t>
  </si>
  <si>
    <t>The annual salary, including benefits, for the Field Staff.</t>
  </si>
  <si>
    <t>The site travel and transportation costs required by the Field Staff.</t>
  </si>
  <si>
    <t>Office Internet</t>
  </si>
  <si>
    <t>Equipment / Capital Expenses</t>
  </si>
  <si>
    <t>Mobile Phones / chargers / SIM card &amp; registration</t>
  </si>
  <si>
    <t>GPRS Modem</t>
  </si>
  <si>
    <t>A USB modem required for internet service access at each project office.</t>
  </si>
  <si>
    <t>Legend for color coding</t>
  </si>
  <si>
    <t>Basic INPUTS (Required)</t>
  </si>
  <si>
    <t>Instructions</t>
  </si>
  <si>
    <t>Major OUTPUTS</t>
  </si>
  <si>
    <t>Trainings</t>
  </si>
  <si>
    <t>TRANSLATED Language</t>
  </si>
  <si>
    <t>Voice and data plan</t>
  </si>
  <si>
    <t>Computer equipment</t>
  </si>
  <si>
    <t>Total monthly</t>
  </si>
  <si>
    <t>Incentive / Salary / benefits</t>
  </si>
  <si>
    <t>Per Worker</t>
  </si>
  <si>
    <t>Netbook for Project Manager</t>
  </si>
  <si>
    <t>Netbook for Field Staff</t>
  </si>
  <si>
    <t>Solar Equipment</t>
  </si>
  <si>
    <t>Netbook o portátil Por Personal de Campo</t>
  </si>
  <si>
    <t>Netbook o portátil Por Administrador de Proyecto</t>
  </si>
  <si>
    <t>Mobile Phones</t>
  </si>
  <si>
    <t>Number of FLWs using CommCare</t>
  </si>
  <si>
    <t># People covered per FLW</t>
  </si>
  <si>
    <t>Per FLW</t>
  </si>
  <si>
    <t>FLWs</t>
  </si>
  <si>
    <t># of FLWs</t>
  </si>
  <si>
    <t>Training - Existing FLWs</t>
  </si>
  <si>
    <t>Training - NEW FLWs</t>
  </si>
  <si>
    <t>AVERAGE YEARLY COSTS PER FLW</t>
  </si>
  <si>
    <t>Average Yearly Costs for Modelled Org (per FLW)</t>
  </si>
  <si>
    <t>AVERAGE PROJECTED COSTS (per FLW)</t>
  </si>
  <si>
    <t>Total Avg. Annual Total Cost of Ownership (per FLW)</t>
  </si>
  <si>
    <t xml:space="preserve">Days required for initial training of FLWs in CommCare Mobile and relevant phone skills (e.g. phone skills, text entry). </t>
  </si>
  <si>
    <t>Days required per year for re-training (for FLWs) of skills learned during the intial training.</t>
  </si>
  <si>
    <t>The amount of incremental salary and/or incentive for each FLW based on work completed.</t>
  </si>
  <si>
    <r>
      <t xml:space="preserve"># of units: </t>
    </r>
    <r>
      <rPr>
        <sz val="11"/>
        <color theme="1"/>
        <rFont val="Calibri"/>
        <family val="2"/>
        <scheme val="minor"/>
      </rPr>
      <t xml:space="preserve">Estimate based on Dimagi Project Experience, </t>
    </r>
    <r>
      <rPr>
        <b/>
        <sz val="11"/>
        <color theme="1"/>
        <rFont val="Calibri"/>
        <family val="2"/>
        <scheme val="minor"/>
      </rPr>
      <t xml:space="preserve">Cost/Unit: </t>
    </r>
    <r>
      <rPr>
        <sz val="11"/>
        <color theme="1"/>
        <rFont val="Calibri"/>
        <family val="2"/>
        <scheme val="minor"/>
      </rPr>
      <t>from India partner survey</t>
    </r>
  </si>
  <si>
    <r>
      <rPr>
        <b/>
        <sz val="11"/>
        <color theme="1"/>
        <rFont val="Calibri"/>
        <family val="2"/>
        <scheme val="minor"/>
      </rPr>
      <t xml:space="preserve"># of units: </t>
    </r>
    <r>
      <rPr>
        <sz val="11"/>
        <color theme="1"/>
        <rFont val="Calibri"/>
        <family val="2"/>
        <scheme val="minor"/>
      </rPr>
      <t xml:space="preserve">Estimate based on Dimagi Project Experience, </t>
    </r>
    <r>
      <rPr>
        <b/>
        <sz val="11"/>
        <color theme="1"/>
        <rFont val="Calibri"/>
        <family val="2"/>
        <scheme val="minor"/>
      </rPr>
      <t xml:space="preserve">Cost/Unit: </t>
    </r>
    <r>
      <rPr>
        <sz val="11"/>
        <color theme="1"/>
        <rFont val="Calibri"/>
        <family val="2"/>
        <scheme val="minor"/>
      </rPr>
      <t>from India partner survey</t>
    </r>
  </si>
  <si>
    <r>
      <rPr>
        <b/>
        <sz val="11"/>
        <color theme="1"/>
        <rFont val="Calibri"/>
        <family val="2"/>
        <scheme val="minor"/>
      </rPr>
      <t># of units:</t>
    </r>
    <r>
      <rPr>
        <sz val="11"/>
        <color theme="1"/>
        <rFont val="Calibri"/>
        <family val="2"/>
        <scheme val="minor"/>
      </rPr>
      <t xml:space="preserve"> Monthly access will be needed, </t>
    </r>
    <r>
      <rPr>
        <b/>
        <sz val="11"/>
        <color theme="1"/>
        <rFont val="Calibri"/>
        <family val="2"/>
        <scheme val="minor"/>
      </rPr>
      <t xml:space="preserve">Cost/Unit: </t>
    </r>
    <r>
      <rPr>
        <sz val="11"/>
        <color theme="1"/>
        <rFont val="Calibri"/>
        <family val="2"/>
        <scheme val="minor"/>
      </rPr>
      <t>Sample of Surveys from partners in India.</t>
    </r>
  </si>
  <si>
    <r>
      <rPr>
        <b/>
        <sz val="11"/>
        <color theme="1"/>
        <rFont val="Calibri"/>
        <family val="2"/>
        <scheme val="minor"/>
      </rPr>
      <t># of units:</t>
    </r>
    <r>
      <rPr>
        <sz val="11"/>
        <color theme="1"/>
        <rFont val="Calibri"/>
        <family val="2"/>
        <scheme val="minor"/>
      </rPr>
      <t xml:space="preserve"> Monthly</t>
    </r>
    <r>
      <rPr>
        <b/>
        <sz val="11"/>
        <color theme="1"/>
        <rFont val="Calibri"/>
        <family val="2"/>
        <scheme val="minor"/>
      </rPr>
      <t/>
    </r>
  </si>
  <si>
    <t>Per # FLW</t>
  </si>
  <si>
    <t>CommCare hosting plan (Community =$0, Standard = $100, PRO = $500, Advanced=$1,000)</t>
  </si>
  <si>
    <t>CommCare hosting fees per month</t>
  </si>
  <si>
    <t>Additional $1 fee per users (after free 50 users)</t>
  </si>
  <si>
    <t>Inflation rate</t>
  </si>
  <si>
    <t>OUTPUTS</t>
  </si>
  <si>
    <t>Standard</t>
  </si>
  <si>
    <t>Community</t>
  </si>
  <si>
    <t>PRO</t>
  </si>
  <si>
    <t>Advanced</t>
  </si>
  <si>
    <t>Enterprise</t>
  </si>
  <si>
    <t>Potential CommCare software plans</t>
  </si>
  <si>
    <t>Estimated number of mobile app users</t>
  </si>
  <si>
    <t>TOTAL CommCare cost (per month)</t>
  </si>
  <si>
    <t>New staff and office needed for CommCare</t>
  </si>
  <si>
    <t>Number of new Project Managers per XX FLWs</t>
  </si>
  <si>
    <t>Number of new Field Staff per XX FLWs</t>
  </si>
  <si>
    <t>(insert other if needed) Number of new [Type] Staff per XX FLWs</t>
  </si>
  <si>
    <t>Selected CommCare software plan (see https://www.commcarehq.org/pricing/#software)</t>
  </si>
  <si>
    <t>Annual CommCare Training Costs</t>
  </si>
  <si>
    <t>Additional Incentive / Salary / benefits</t>
  </si>
  <si>
    <t>[Insert Type] Staff</t>
  </si>
  <si>
    <t>Training - Existing [Insert Type] Staff</t>
  </si>
  <si>
    <t>Training - NEW [Insert Type] Staff</t>
  </si>
  <si>
    <r>
      <t xml:space="preserve">Per [Insert Type] Staff </t>
    </r>
    <r>
      <rPr>
        <i/>
        <sz val="10"/>
        <rFont val="Calibri"/>
        <scheme val="minor"/>
      </rPr>
      <t>(if additional category needed)</t>
    </r>
  </si>
  <si>
    <t>NEW [Insert type] staff for training</t>
  </si>
  <si>
    <t>Netbook for [Insert type] Staff</t>
  </si>
  <si>
    <t>Training - NEW [Insert type] Staff</t>
  </si>
  <si>
    <t>TOTAL PER BENEFICIARY</t>
  </si>
  <si>
    <t>Total Capital / Equipment</t>
  </si>
  <si>
    <t>Dimagi - CommCare hosting fees</t>
  </si>
  <si>
    <t>FLW - Data plans and add. salaries</t>
  </si>
  <si>
    <t>Per New Project Manager</t>
  </si>
  <si>
    <t>Per New Field Staff</t>
  </si>
  <si>
    <t>Per new [Insert Type] Staff</t>
  </si>
  <si>
    <t>FLW &amp; management - Data plans</t>
  </si>
  <si>
    <t xml:space="preserve">FLW &amp; Management - salaries </t>
  </si>
  <si>
    <t>TOTAL COSTS PER YEAR (with split data plans and salaries)</t>
  </si>
  <si>
    <t>TOTAL COST OF OWNERSHIP (TCO) OF MOBILE APP. PROJECT</t>
  </si>
  <si>
    <t>ASSUMPTIONS AND DEFINITION CLARIFICATIONS</t>
  </si>
  <si>
    <t>Selected CommCare hosting plan</t>
  </si>
  <si>
    <t>Estimated average yearly inflation rate on all costs</t>
  </si>
  <si>
    <t>Estimate (vary by country)</t>
  </si>
  <si>
    <t>Yearly Inflation rate</t>
  </si>
  <si>
    <t>Days required for initial training of [Insert type] Staff in CommCare Mobile and CommCareHQ.</t>
  </si>
  <si>
    <t>Days required per year for re-training (for [Insert type] Staff) of skills learned during the intial training.</t>
  </si>
  <si>
    <t>To be estimated by partner if this new category is needed. Otherwise leave blank</t>
  </si>
  <si>
    <t>Insert other cost per Project Manager if needed</t>
  </si>
  <si>
    <t>Insert other cost per Field Manager if needed</t>
  </si>
  <si>
    <t>The annual salary, including benefits, for the [Insert type] Staff.</t>
  </si>
  <si>
    <t>The site travel and transportation costs required by the [Insert Type] Staff.</t>
  </si>
  <si>
    <t>No estimate available. Please fill-in</t>
  </si>
  <si>
    <t>Insert other costs per office if needed</t>
  </si>
  <si>
    <t>The voice and data airtime needed by Project Managers fo use of CommCare and CommCareHQ.</t>
  </si>
  <si>
    <t>The voice and data airtime needed by FLWs for operating CommCare (i.e. sending forms, calling supervisors).</t>
  </si>
  <si>
    <t>The voice and data airtime needed by Field Staff for  for use of CommCare and CommCareHQ.</t>
  </si>
  <si>
    <t>The voice and data airtime needed by [Insert type] Staff for  for use of CommCare and CommCareHQ.</t>
  </si>
  <si>
    <t>Insert other cost per FLW if needed</t>
  </si>
  <si>
    <t>The cost of solar equipment to charge phones</t>
  </si>
  <si>
    <t>Insert other cost per [Insert type] Staff if needed</t>
  </si>
  <si>
    <t>Staff &amp; Management - Data plan and salaries</t>
  </si>
  <si>
    <t>The number of Field Staff  (per FLW) that need to be hired to support the use of CommCare at the Field site(s)</t>
  </si>
  <si>
    <t>Estimate. Same comment as above on the FTE value</t>
  </si>
  <si>
    <t>Additional Office space costs</t>
  </si>
  <si>
    <t>Additional office space costs</t>
  </si>
  <si>
    <t>The monthly cost for internet service access via USB modem at each project office (to connect the netbook) if not already activated before the CommCare project</t>
  </si>
  <si>
    <t>Any additional monthly administrative cost linked to the project (additional rental space?...)</t>
  </si>
  <si>
    <t>Additional Administrative expenses (electricity, water, rent, supplies, building safety, etc..)</t>
  </si>
  <si>
    <t>Additional administrative expenses (electricity, water, rent, supplies, building safety, etc..)</t>
  </si>
  <si>
    <t>Netbook per new [Insert type] Staff</t>
  </si>
  <si>
    <t>Netbook per New Project Manager(PM)</t>
  </si>
  <si>
    <t>Netbook per new Field Staff (FS)</t>
  </si>
  <si>
    <t>New Equipment / Capital Expenses</t>
  </si>
  <si>
    <t>Additional Computer equipment</t>
  </si>
  <si>
    <r>
      <rPr>
        <b/>
        <sz val="11"/>
        <color theme="1"/>
        <rFont val="Calibri"/>
        <family val="2"/>
        <scheme val="minor"/>
      </rPr>
      <t># of units:</t>
    </r>
    <r>
      <rPr>
        <sz val="11"/>
        <color theme="1"/>
        <rFont val="Calibri"/>
        <family val="2"/>
        <scheme val="minor"/>
      </rPr>
      <t xml:space="preserve"> 1 needed per computer, </t>
    </r>
    <r>
      <rPr>
        <b/>
        <sz val="11"/>
        <color theme="1"/>
        <rFont val="Calibri"/>
        <family val="2"/>
        <scheme val="minor"/>
      </rPr>
      <t>Cost/Unit:</t>
    </r>
    <r>
      <rPr>
        <sz val="11"/>
        <color theme="1"/>
        <rFont val="Calibri"/>
        <family val="2"/>
        <scheme val="minor"/>
      </rPr>
      <t xml:space="preserve"> Estimated cost of USB modem</t>
    </r>
  </si>
  <si>
    <t>New phones for FLW</t>
  </si>
  <si>
    <t>New phones for project managers</t>
  </si>
  <si>
    <t>New phones for Field staff</t>
  </si>
  <si>
    <t xml:space="preserve">New phones for [Insert type] staff </t>
  </si>
  <si>
    <t>Netbook for project manager</t>
  </si>
  <si>
    <t>Netbook for field staff</t>
  </si>
  <si>
    <t>Netbook for [Insert type] staff</t>
  </si>
  <si>
    <t>Attrition rate</t>
  </si>
  <si>
    <t>FLWs and Project Manager/Field Staff expected to drop-out of the project every year for various reasons.</t>
  </si>
  <si>
    <t>Netbooks</t>
  </si>
  <si>
    <t>New netbooks for Project Manager</t>
  </si>
  <si>
    <t>New netbooks for [Insert type] Staff</t>
  </si>
  <si>
    <t>New netbooks for Field Staff</t>
  </si>
  <si>
    <t>Capital/Equipment volume needed</t>
  </si>
  <si>
    <t>Operating cost drivers</t>
  </si>
  <si>
    <t>Average cost of Java-enabled mobile phone running CommCare in India in 2012.</t>
  </si>
  <si>
    <t>The cost of a mobile phone to run CommCare Mobile for each  worker (FLW/Staff/Manager). 
NB: The need for additional mobile phones for Project Managers, Field staff and other type of managerial staff is rounded, meaning that unless there is more than 0.5 FTE (Full-time Equivalent) of a Manager/staff to be added to the project, no phones are considered required</t>
  </si>
  <si>
    <t>Same comment as above but for field staff</t>
  </si>
  <si>
    <t>Same comment as above but for [Insert type] staff</t>
  </si>
  <si>
    <t>Per Project Mger</t>
  </si>
  <si>
    <t>Rer Field staff</t>
  </si>
  <si>
    <t>Per [Insert type] Staff</t>
  </si>
  <si>
    <t>Per Worker (FLW, Manager, Staff)</t>
  </si>
  <si>
    <t>per unit (office)</t>
  </si>
  <si>
    <t>Netbooks for project manager</t>
  </si>
  <si>
    <t>Netbooks for field staff</t>
  </si>
  <si>
    <t>Netbooks for [Insert type] staff</t>
  </si>
  <si>
    <t>Capital Depreciation / Replacement Rate for phones</t>
  </si>
  <si>
    <t>Capital Depreciation / Replacement Rate for netbooks/computers/solar equipment</t>
  </si>
  <si>
    <t>The expected replacement rate for Mobile phones due to normal use, phone loss, etc.</t>
  </si>
  <si>
    <t>The expected replacement rate for netbooks, computer, solar equipment due to normal use, loss, etc.</t>
  </si>
  <si>
    <t>Number of netbook computers per additional Project Manager. 
NB: Same comment as in line 73 for the phone, meaning that the need for additional netbooks will be rounded to take into account that part-time Project Manager, Field staff or other staff might already have a computer</t>
  </si>
  <si>
    <r>
      <rPr>
        <b/>
        <sz val="11"/>
        <color theme="1"/>
        <rFont val="Calibri"/>
        <family val="2"/>
        <scheme val="minor"/>
      </rPr>
      <t># of units:</t>
    </r>
    <r>
      <rPr>
        <sz val="11"/>
        <color theme="1"/>
        <rFont val="Calibri"/>
        <family val="2"/>
        <scheme val="minor"/>
      </rPr>
      <t xml:space="preserve"> 1 computer needed per office, </t>
    </r>
    <r>
      <rPr>
        <b/>
        <sz val="11"/>
        <color theme="1"/>
        <rFont val="Calibri"/>
        <family val="2"/>
        <scheme val="minor"/>
      </rPr>
      <t>Cost/Unit:</t>
    </r>
    <r>
      <rPr>
        <sz val="11"/>
        <color theme="1"/>
        <rFont val="Calibri"/>
        <family val="2"/>
        <scheme val="minor"/>
      </rPr>
      <t xml:space="preserve"> Estimated cost of desktop computer. NB: the partner can chose to add computers per office or to add netbook per project manager/Staff (cf. lines 75-77)</t>
    </r>
  </si>
  <si>
    <t>A additional desktop computer required at each project office.</t>
  </si>
  <si>
    <t>Additional equipment needed for Office</t>
  </si>
  <si>
    <t>Number of FLWs (Front-Line workers) using CommCare Year 1 - 5.</t>
  </si>
  <si>
    <t>Number of beneficiaries per FLW</t>
  </si>
  <si>
    <t xml:space="preserve">Number of additional project Managers (per FLW) that need to be hired to manage the program and to utilize the data obtained by CommCare </t>
  </si>
  <si>
    <t>Estimate. Note that the whole model is based on a "Full-Time-Equivalent" (FTE) value for the number of Project Managers needed, meaning that it is based on the assumption that a part-time Project Manager can be hired (or added from another project to that project). If this is not possible, make sure you enter a value that will represent a round number when multiplied by the number of FLW</t>
  </si>
  <si>
    <t>Note: Pre-populated inputs are estimates based on Dimagi experience working with several partners in India in 2012 and should be carefully reviewed to adjusted to your situation</t>
  </si>
  <si>
    <r>
      <rPr>
        <b/>
        <sz val="11"/>
        <color theme="1"/>
        <rFont val="Calibri"/>
        <family val="2"/>
        <scheme val="minor"/>
      </rPr>
      <t># of units:</t>
    </r>
    <r>
      <rPr>
        <sz val="11"/>
        <color theme="1"/>
        <rFont val="Calibri"/>
        <family val="2"/>
        <scheme val="minor"/>
      </rPr>
      <t xml:space="preserve"> Monthly allocated budget for sending CommCare forms, </t>
    </r>
    <r>
      <rPr>
        <b/>
        <sz val="11"/>
        <color theme="1"/>
        <rFont val="Calibri"/>
        <family val="2"/>
        <scheme val="minor"/>
      </rPr>
      <t xml:space="preserve">Cost/Unit: </t>
    </r>
    <r>
      <rPr>
        <sz val="11"/>
        <color theme="1"/>
        <rFont val="Calibri"/>
        <family val="2"/>
        <scheme val="minor"/>
      </rPr>
      <t xml:space="preserve">India telcom network data cost per CommCare form submission. </t>
    </r>
  </si>
  <si>
    <t xml:space="preserve">The number of another type of staff per FLW (we've seen partners in the past needing an additional category of managerial staff)- </t>
  </si>
  <si>
    <t>Estimate. Same comment as above on the FTE value.
You can leave these cells empty if you don't need this category of staff.</t>
  </si>
  <si>
    <r>
      <rPr>
        <b/>
        <sz val="11"/>
        <color theme="1"/>
        <rFont val="Calibri"/>
        <family val="2"/>
        <scheme val="minor"/>
      </rPr>
      <t># of units:</t>
    </r>
    <r>
      <rPr>
        <sz val="11"/>
        <color theme="1"/>
        <rFont val="Calibri"/>
        <family val="2"/>
        <scheme val="minor"/>
      </rPr>
      <t xml:space="preserve"> Estimate based on Dimagi Project Experience, </t>
    </r>
    <r>
      <rPr>
        <b/>
        <sz val="11"/>
        <color theme="1"/>
        <rFont val="Calibri"/>
        <family val="2"/>
        <scheme val="minor"/>
      </rPr>
      <t xml:space="preserve">Cost/Unit: </t>
    </r>
    <r>
      <rPr>
        <sz val="11"/>
        <color theme="1"/>
        <rFont val="Calibri"/>
        <family val="2"/>
        <scheme val="minor"/>
      </rPr>
      <t>from India partner survey. This cost will be multiplied by the FTE value for Project Manager.</t>
    </r>
  </si>
  <si>
    <r>
      <rPr>
        <b/>
        <sz val="11"/>
        <color theme="1"/>
        <rFont val="Calibri"/>
        <family val="2"/>
        <scheme val="minor"/>
      </rPr>
      <t xml:space="preserve"># of units: </t>
    </r>
    <r>
      <rPr>
        <sz val="11"/>
        <color theme="1"/>
        <rFont val="Calibri"/>
        <family val="2"/>
        <scheme val="minor"/>
      </rPr>
      <t xml:space="preserve">Estimate based on Dimagi Project Experience, </t>
    </r>
    <r>
      <rPr>
        <b/>
        <sz val="11"/>
        <color theme="1"/>
        <rFont val="Calibri"/>
        <family val="2"/>
        <scheme val="minor"/>
      </rPr>
      <t xml:space="preserve">Cost/Unit: </t>
    </r>
    <r>
      <rPr>
        <sz val="11"/>
        <color theme="1"/>
        <rFont val="Calibri"/>
        <family val="2"/>
        <scheme val="minor"/>
      </rPr>
      <t>from India partner survey. This cost will be multiplied by the FTE value for Project Manager.</t>
    </r>
  </si>
  <si>
    <r>
      <t xml:space="preserve"># of units: Estimate based on Dimagi Project Experience, </t>
    </r>
    <r>
      <rPr>
        <b/>
        <sz val="11"/>
        <color theme="1"/>
        <rFont val="Calibri"/>
        <family val="2"/>
        <scheme val="minor"/>
      </rPr>
      <t xml:space="preserve">Cost/Unit: </t>
    </r>
    <r>
      <rPr>
        <sz val="11"/>
        <color theme="1"/>
        <rFont val="Calibri"/>
        <family val="2"/>
        <scheme val="minor"/>
      </rPr>
      <t>from India partner survey. This cost will be multiplied by the FTE value of Field staff.</t>
    </r>
  </si>
  <si>
    <r>
      <rPr>
        <b/>
        <sz val="11"/>
        <color theme="1"/>
        <rFont val="Calibri"/>
        <family val="2"/>
        <scheme val="minor"/>
      </rPr>
      <t xml:space="preserve"># of units: </t>
    </r>
    <r>
      <rPr>
        <sz val="11"/>
        <color theme="1"/>
        <rFont val="Calibri"/>
        <family val="2"/>
        <scheme val="minor"/>
      </rPr>
      <t xml:space="preserve">Estimate based on Dimagi Project Experience, </t>
    </r>
    <r>
      <rPr>
        <b/>
        <sz val="11"/>
        <color theme="1"/>
        <rFont val="Calibri"/>
        <family val="2"/>
        <scheme val="minor"/>
      </rPr>
      <t xml:space="preserve">Cost/Unit: from India partner survey. </t>
    </r>
    <r>
      <rPr>
        <sz val="11"/>
        <color theme="1"/>
        <rFont val="Calibri"/>
        <family val="2"/>
        <scheme val="minor"/>
      </rPr>
      <t>This cost will be multiplied by the FTE value of Field staff.</t>
    </r>
  </si>
  <si>
    <t>To be estimated by partner if this new category is needed. Otherwise leave blank. This cost will be multiplied by the FTE value of [Insert type] staff.</t>
  </si>
  <si>
    <r>
      <rPr>
        <b/>
        <sz val="11"/>
        <color theme="1"/>
        <rFont val="Calibri"/>
        <family val="2"/>
        <scheme val="minor"/>
      </rPr>
      <t># of units:</t>
    </r>
    <r>
      <rPr>
        <sz val="11"/>
        <color theme="1"/>
        <rFont val="Calibri"/>
        <family val="2"/>
        <scheme val="minor"/>
      </rPr>
      <t xml:space="preserve"> Monthly form submission will be needed, </t>
    </r>
    <r>
      <rPr>
        <b/>
        <sz val="11"/>
        <color theme="1"/>
        <rFont val="Calibri"/>
        <family val="2"/>
        <scheme val="minor"/>
      </rPr>
      <t>Cost/Unit:</t>
    </r>
    <r>
      <rPr>
        <sz val="11"/>
        <color theme="1"/>
        <rFont val="Calibri"/>
        <family val="2"/>
        <scheme val="minor"/>
      </rPr>
      <t xml:space="preserve"> India telcom network data cost per CommCare form submission. This cost will be multiplied by the FTE value for Project Manager.</t>
    </r>
  </si>
  <si>
    <r>
      <rPr>
        <b/>
        <sz val="11"/>
        <color theme="1"/>
        <rFont val="Calibri"/>
        <family val="2"/>
        <scheme val="minor"/>
      </rPr>
      <t># of units:</t>
    </r>
    <r>
      <rPr>
        <sz val="11"/>
        <color theme="1"/>
        <rFont val="Calibri"/>
        <family val="2"/>
        <scheme val="minor"/>
      </rPr>
      <t xml:space="preserve"> Annual salary, </t>
    </r>
    <r>
      <rPr>
        <b/>
        <sz val="11"/>
        <color theme="1"/>
        <rFont val="Calibri"/>
        <family val="2"/>
        <scheme val="minor"/>
      </rPr>
      <t>Cost/Unit:</t>
    </r>
    <r>
      <rPr>
        <sz val="11"/>
        <color theme="1"/>
        <rFont val="Calibri"/>
        <family val="2"/>
        <scheme val="minor"/>
      </rPr>
      <t xml:space="preserve"> Sample of Surveys from partners in India. This cost will be multiplied by the FTE value for Project Manager.</t>
    </r>
  </si>
  <si>
    <r>
      <rPr>
        <b/>
        <sz val="11"/>
        <color theme="1"/>
        <rFont val="Calibri"/>
        <family val="2"/>
        <scheme val="minor"/>
      </rPr>
      <t># of units:</t>
    </r>
    <r>
      <rPr>
        <sz val="11"/>
        <color theme="1"/>
        <rFont val="Calibri"/>
        <family val="2"/>
        <scheme val="minor"/>
      </rPr>
      <t xml:space="preserve"> Monthly travel to/from project site will be required, </t>
    </r>
    <r>
      <rPr>
        <b/>
        <sz val="11"/>
        <color theme="1"/>
        <rFont val="Calibri"/>
        <family val="2"/>
        <scheme val="minor"/>
      </rPr>
      <t>Cost/Unit:</t>
    </r>
    <r>
      <rPr>
        <sz val="11"/>
        <color theme="1"/>
        <rFont val="Calibri"/>
        <family val="2"/>
        <scheme val="minor"/>
      </rPr>
      <t xml:space="preserve"> Sample of Surveys from partners in India. This cost will be multiplied by the FTE value for Project Manager.</t>
    </r>
  </si>
  <si>
    <r>
      <rPr>
        <b/>
        <sz val="11"/>
        <color theme="1"/>
        <rFont val="Calibri"/>
        <family val="2"/>
        <scheme val="minor"/>
      </rPr>
      <t># of units:</t>
    </r>
    <r>
      <rPr>
        <sz val="11"/>
        <color theme="1"/>
        <rFont val="Calibri"/>
        <family val="2"/>
        <scheme val="minor"/>
      </rPr>
      <t xml:space="preserve"> Monthly form submission will be needed, </t>
    </r>
    <r>
      <rPr>
        <b/>
        <sz val="11"/>
        <color theme="1"/>
        <rFont val="Calibri"/>
        <family val="2"/>
        <scheme val="minor"/>
      </rPr>
      <t>Cost/Unit:</t>
    </r>
    <r>
      <rPr>
        <sz val="11"/>
        <color theme="1"/>
        <rFont val="Calibri"/>
        <family val="2"/>
        <scheme val="minor"/>
      </rPr>
      <t xml:space="preserve"> India telcom network data cost per CommCare form submission. This cost will be multiplied by the FTE value of Field staff.</t>
    </r>
  </si>
  <si>
    <r>
      <rPr>
        <b/>
        <sz val="11"/>
        <color theme="1"/>
        <rFont val="Calibri"/>
        <family val="2"/>
        <scheme val="minor"/>
      </rPr>
      <t># of units:</t>
    </r>
    <r>
      <rPr>
        <sz val="11"/>
        <color theme="1"/>
        <rFont val="Calibri"/>
        <family val="2"/>
        <scheme val="minor"/>
      </rPr>
      <t xml:space="preserve"> Annual salary, </t>
    </r>
    <r>
      <rPr>
        <b/>
        <sz val="11"/>
        <color theme="1"/>
        <rFont val="Calibri"/>
        <family val="2"/>
        <scheme val="minor"/>
      </rPr>
      <t>Cost/Unit:</t>
    </r>
    <r>
      <rPr>
        <sz val="11"/>
        <color theme="1"/>
        <rFont val="Calibri"/>
        <family val="2"/>
        <scheme val="minor"/>
      </rPr>
      <t xml:space="preserve"> Sample of Surveys from partners in India. This cost will be multiplied by the FTE value of Field staff.</t>
    </r>
  </si>
  <si>
    <r>
      <rPr>
        <b/>
        <sz val="11"/>
        <color theme="1"/>
        <rFont val="Calibri"/>
        <family val="2"/>
        <scheme val="minor"/>
      </rPr>
      <t># of units:</t>
    </r>
    <r>
      <rPr>
        <sz val="11"/>
        <color theme="1"/>
        <rFont val="Calibri"/>
        <family val="2"/>
        <scheme val="minor"/>
      </rPr>
      <t xml:space="preserve"> Monthly travel to/from project site will be required, </t>
    </r>
    <r>
      <rPr>
        <b/>
        <sz val="11"/>
        <color theme="1"/>
        <rFont val="Calibri"/>
        <family val="2"/>
        <scheme val="minor"/>
      </rPr>
      <t>Cost/Unit:</t>
    </r>
    <r>
      <rPr>
        <sz val="11"/>
        <color theme="1"/>
        <rFont val="Calibri"/>
        <family val="2"/>
        <scheme val="minor"/>
      </rPr>
      <t xml:space="preserve"> Sample of Surveys from partners in India. This cost will be multiplied by the FTE value of Field staff.</t>
    </r>
  </si>
  <si>
    <t>Automatically calculated field: CommCare additional user fees - on top of software plan - 50 users are free and each plan includes a set number of users for free. Additional users cost $1/month</t>
  </si>
  <si>
    <t>…</t>
  </si>
  <si>
    <t>Additional monthly fees for additional users beyond the free # of users included in selected software plan</t>
  </si>
  <si>
    <t>Automatically calculated field: Sum of the 2 lines above.
Feel free to plug the MONTHLY cost of any other mobile technology you might want to use</t>
  </si>
  <si>
    <t>Sum of the 2 lines above</t>
  </si>
  <si>
    <t>Por Personal de […]</t>
  </si>
  <si>
    <t>Personal adicional necesarias para CommCare</t>
  </si>
  <si>
    <t>New staff needed for CommCare</t>
  </si>
  <si>
    <t>Note: Pre-populated inputs are estimates, based on Dimagi experience in India in 2012 and should be carefully reviewed to adjust to your situation (see Dimagi Assumption Explanations for more details)</t>
  </si>
  <si>
    <t>Número depromotores de salud utilizando CommCare</t>
  </si>
  <si>
    <t>Número de personas atendidas por cada promotor/a de salud</t>
  </si>
  <si>
    <t>Plan de software seleccionado de CommCare (ver https://www.commcarehq.org/pricing/#software)</t>
  </si>
  <si>
    <t>Número de administradores del proyecto por XX promotores de salud</t>
  </si>
  <si>
    <t>Número de personal de campo por XX promotores de salud</t>
  </si>
  <si>
    <t>(insertar otro de ser necesario) Número de personal nuevo [tipo] por XX promotores de salud</t>
  </si>
  <si>
    <t xml:space="preserve">Tasa de deserción   </t>
  </si>
  <si>
    <t>Por Promotor/a de Salud</t>
  </si>
  <si>
    <t>Días de capacitación inicial</t>
  </si>
  <si>
    <t>Días de capacitación recurrentes</t>
  </si>
  <si>
    <r>
      <t xml:space="preserve">Por Personal de [Insertar] </t>
    </r>
    <r>
      <rPr>
        <i/>
        <sz val="10"/>
        <rFont val="Calibri"/>
        <scheme val="minor"/>
      </rPr>
      <t>(agregar categoría adicional de ser necesario)</t>
    </r>
  </si>
  <si>
    <t>Plan de datos y voz</t>
  </si>
  <si>
    <t>Incentivo/Salario/Beneficios</t>
  </si>
  <si>
    <t>Visita de campo/Gastos de transporte</t>
  </si>
  <si>
    <t>Plan de datos y vozn</t>
  </si>
  <si>
    <t xml:space="preserve">Gastos administrativos adicionales (luz, agua, alquiler, insumos, manten de edificios, seguridad, etc.) </t>
  </si>
  <si>
    <t>Depreciación de capital / tasa de sustitución de netbooks/computadoras/equipo solar</t>
  </si>
  <si>
    <t>Depreciación de capital / tasa de sustitución de teléfonos</t>
  </si>
  <si>
    <t>Teléfonos móviles / cargadores / tarjetas SIM &amp; registro</t>
  </si>
  <si>
    <t>Sistema Solar para cargar aparatos</t>
  </si>
  <si>
    <t>Netbook o portátil Por Personal de [Insertar]</t>
  </si>
  <si>
    <t>Equipo adicional por oficina</t>
  </si>
  <si>
    <t>Módem GPRS</t>
  </si>
  <si>
    <t>Equipo de computación adicional</t>
  </si>
  <si>
    <t>Plan de hosting de CommCare (Community =$0, Standard = $100, PRO = $500, Advanced=$1,000)</t>
  </si>
  <si>
    <t>Tarifa de $1 adicional por usuario (después de los 50 usuarios gratuitos)</t>
  </si>
  <si>
    <t>Costo de CommCare TOTAL (por mes)</t>
  </si>
  <si>
    <t>Gastos Adicionales de Oficina</t>
  </si>
  <si>
    <t>Included number of mobile app users in the software plan</t>
  </si>
  <si>
    <t>Additional $2 fee per users (after included users) - (Note: Different pricing for Enterprise)</t>
  </si>
  <si>
    <t>The partner should select the plan needed based on the CommCare features required for the project. See descriptions on https://dimagi.com/commcare/pricing/</t>
  </si>
  <si>
    <t xml:space="preserve">Monthly fees to use CommCare advanced features (first Community plan is free) based on an Annual billing cycle. If you chose to get billed on a monthly basis, the price would be higher. Please refer to this page for more information: https://dimagi.com/commcare/#pricing </t>
  </si>
  <si>
    <t>Automatically calculated field: CommCare hosting fees based on software plan selected on Line 15 and based on an annual billing cycle</t>
  </si>
  <si>
    <t>CommCare hosting plan (Community =$0, Standard = $250, PRO = $500, Advanced=$1,000) - based on an annual billing cycle</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</si>
</sst>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Rs.-4009]\ #,##0"/>
    <numFmt numFmtId="165" formatCode="&quot;$&quot;#,##0.0"/>
    <numFmt numFmtId="166" formatCode="_(&quot;$&quot;* #,##0.00_);_(&quot;$&quot;* \(#,##0.00\);_(&quot;$&quot;* &quot;-&quot;??_);_(* @_)"/>
    <numFmt numFmtId="167" formatCode="_(&quot;$&quot;* #,##0_);_(&quot;$&quot;* \(#,##0\);_(&quot;$&quot;* &quot;-&quot;??_);_(@_)"/>
    <numFmt numFmtId="168" formatCode="#,##0.0"/>
    <numFmt numFmtId="169" formatCode="_(* #,##0_);_(* \(#,##0\);_(* &quot;-&quot;??_);_(@_)"/>
  </numFmts>
  <fonts count="48" x14ac:knownFonts="1">
    <font>
      <sz val="11"/>
      <color theme="1"/>
      <name val="Calibri"/>
      <family val="2"/>
      <scheme val="minor"/>
    </font>
    <font>
      <sz val="11"/>
      <color theme="1"/>
      <name val="Calibri"/>
      <family val="2"/>
      <scheme val="minor"/>
    </font>
    <font>
      <b/>
      <sz val="11"/>
      <color rgb="FF3F3F3F"/>
      <name val="Calibri"/>
      <family val="2"/>
      <scheme val="minor"/>
    </font>
    <font>
      <b/>
      <sz val="11"/>
      <color rgb="FFFA7D00"/>
      <name val="Calibri"/>
      <family val="2"/>
      <scheme val="minor"/>
    </font>
    <font>
      <sz val="10"/>
      <name val="Times New Roman"/>
      <family val="1"/>
    </font>
    <font>
      <sz val="11"/>
      <color indexed="8"/>
      <name val="Calibri"/>
      <family val="2"/>
    </font>
    <font>
      <sz val="10"/>
      <name val="Arial"/>
      <family val="2"/>
    </font>
    <font>
      <sz val="11"/>
      <color rgb="FF000000"/>
      <name val="Calibri"/>
      <family val="2"/>
    </font>
    <font>
      <b/>
      <sz val="11"/>
      <color theme="0"/>
      <name val="Calibri"/>
      <family val="2"/>
      <scheme val="minor"/>
    </font>
    <font>
      <b/>
      <sz val="11"/>
      <color theme="1"/>
      <name val="Calibri"/>
      <family val="2"/>
      <scheme val="minor"/>
    </font>
    <font>
      <sz val="10"/>
      <color theme="1"/>
      <name val="Calibri"/>
      <family val="2"/>
      <scheme val="minor"/>
    </font>
    <font>
      <b/>
      <sz val="10"/>
      <color theme="0"/>
      <name val="Calibri"/>
      <family val="2"/>
      <scheme val="minor"/>
    </font>
    <font>
      <sz val="10"/>
      <color indexed="8"/>
      <name val="Calibri"/>
      <family val="2"/>
      <scheme val="minor"/>
    </font>
    <font>
      <b/>
      <sz val="10"/>
      <color theme="1"/>
      <name val="Calibri"/>
      <family val="2"/>
      <scheme val="minor"/>
    </font>
    <font>
      <b/>
      <sz val="11"/>
      <color indexed="9"/>
      <name val="Calibri"/>
      <family val="2"/>
      <scheme val="minor"/>
    </font>
    <font>
      <sz val="10"/>
      <name val="Calibri"/>
      <family val="2"/>
      <scheme val="minor"/>
    </font>
    <font>
      <b/>
      <sz val="10"/>
      <color indexed="9"/>
      <name val="Calibri"/>
      <family val="2"/>
      <scheme val="minor"/>
    </font>
    <font>
      <b/>
      <sz val="12"/>
      <color theme="0"/>
      <name val="Calibri"/>
      <family val="2"/>
      <scheme val="minor"/>
    </font>
    <font>
      <b/>
      <sz val="12"/>
      <color indexed="9"/>
      <name val="Calibri"/>
      <family val="2"/>
      <scheme val="minor"/>
    </font>
    <font>
      <b/>
      <sz val="10"/>
      <name val="Calibri"/>
      <family val="2"/>
      <scheme val="minor"/>
    </font>
    <font>
      <sz val="11"/>
      <name val="Calibri"/>
      <family val="2"/>
      <scheme val="minor"/>
    </font>
    <font>
      <i/>
      <sz val="10"/>
      <color indexed="8"/>
      <name val="Calibri"/>
      <family val="2"/>
      <scheme val="minor"/>
    </font>
    <font>
      <i/>
      <sz val="11"/>
      <color theme="1"/>
      <name val="Calibri"/>
      <family val="2"/>
      <scheme val="minor"/>
    </font>
    <font>
      <i/>
      <sz val="8"/>
      <color theme="1"/>
      <name val="Calibri"/>
      <family val="2"/>
      <scheme val="minor"/>
    </font>
    <font>
      <sz val="11"/>
      <color theme="0"/>
      <name val="Calibri"/>
      <family val="2"/>
      <scheme val="minor"/>
    </font>
    <font>
      <u/>
      <sz val="11"/>
      <color theme="10"/>
      <name val="Calibri"/>
      <family val="2"/>
      <scheme val="minor"/>
    </font>
    <font>
      <u/>
      <sz val="11"/>
      <color theme="11"/>
      <name val="Calibri"/>
      <family val="2"/>
      <scheme val="minor"/>
    </font>
    <font>
      <b/>
      <sz val="12"/>
      <color theme="1"/>
      <name val="Calibri"/>
      <family val="2"/>
      <scheme val="minor"/>
    </font>
    <font>
      <b/>
      <sz val="12"/>
      <name val="Calibri"/>
      <family val="2"/>
      <scheme val="minor"/>
    </font>
    <font>
      <b/>
      <i/>
      <sz val="11"/>
      <color rgb="FFFF0000"/>
      <name val="Calibri"/>
      <family val="2"/>
      <scheme val="minor"/>
    </font>
    <font>
      <b/>
      <sz val="11"/>
      <name val="Calibri"/>
      <family val="2"/>
      <scheme val="minor"/>
    </font>
    <font>
      <b/>
      <sz val="18"/>
      <color theme="1"/>
      <name val="Calibri"/>
      <family val="2"/>
      <scheme val="minor"/>
    </font>
    <font>
      <i/>
      <sz val="10"/>
      <color theme="1"/>
      <name val="Calibri"/>
      <family val="2"/>
      <scheme val="minor"/>
    </font>
    <font>
      <b/>
      <sz val="16"/>
      <color theme="1"/>
      <name val="Calibri"/>
      <family val="2"/>
      <scheme val="minor"/>
    </font>
    <font>
      <sz val="11"/>
      <color rgb="FFFF0000"/>
      <name val="Calibri"/>
      <family val="2"/>
      <scheme val="minor"/>
    </font>
    <font>
      <sz val="10"/>
      <color rgb="FFFF0000"/>
      <name val="Calibri"/>
      <family val="2"/>
      <scheme val="minor"/>
    </font>
    <font>
      <i/>
      <sz val="16"/>
      <color theme="1"/>
      <name val="Calibri"/>
      <scheme val="minor"/>
    </font>
    <font>
      <sz val="8"/>
      <name val="Calibri"/>
      <family val="2"/>
      <scheme val="minor"/>
    </font>
    <font>
      <b/>
      <i/>
      <sz val="16"/>
      <color theme="1"/>
      <name val="Calibri"/>
      <scheme val="minor"/>
    </font>
    <font>
      <b/>
      <i/>
      <sz val="12"/>
      <color theme="3"/>
      <name val="Calibri"/>
      <scheme val="minor"/>
    </font>
    <font>
      <b/>
      <i/>
      <sz val="14"/>
      <color theme="3"/>
      <name val="Calibri"/>
      <scheme val="minor"/>
    </font>
    <font>
      <i/>
      <sz val="10"/>
      <name val="Calibri"/>
      <scheme val="minor"/>
    </font>
    <font>
      <sz val="9"/>
      <color indexed="81"/>
      <name val="Calibri"/>
      <family val="2"/>
    </font>
    <font>
      <b/>
      <sz val="9"/>
      <color indexed="81"/>
      <name val="Calibri"/>
      <family val="2"/>
    </font>
    <font>
      <b/>
      <sz val="14"/>
      <color theme="1"/>
      <name val="Calibri"/>
      <scheme val="minor"/>
    </font>
    <font>
      <sz val="11"/>
      <color rgb="FF000000"/>
      <name val="Calibri"/>
      <family val="2"/>
      <scheme val="minor"/>
    </font>
    <font>
      <b/>
      <sz val="11"/>
      <color rgb="FFFF0000"/>
      <name val="Calibri"/>
      <scheme val="minor"/>
    </font>
    <font>
      <b/>
      <sz val="10"/>
      <color indexed="8"/>
      <name val="Calibri"/>
      <scheme val="minor"/>
    </font>
  </fonts>
  <fills count="19">
    <fill>
      <patternFill patternType="none"/>
    </fill>
    <fill>
      <patternFill patternType="gray125"/>
    </fill>
    <fill>
      <patternFill patternType="solid">
        <fgColor rgb="FFF2F2F2"/>
      </patternFill>
    </fill>
    <fill>
      <patternFill patternType="solid">
        <fgColor theme="0"/>
        <bgColor indexed="64"/>
      </patternFill>
    </fill>
    <fill>
      <patternFill patternType="solid">
        <fgColor indexed="9"/>
        <bgColor indexed="64"/>
      </patternFill>
    </fill>
    <fill>
      <patternFill patternType="solid">
        <fgColor indexed="42"/>
      </patternFill>
    </fill>
    <fill>
      <patternFill patternType="solid">
        <fgColor indexed="22"/>
      </patternFill>
    </fill>
    <fill>
      <patternFill patternType="solid">
        <fgColor theme="4"/>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3" tint="-0.249977111117893"/>
        <bgColor indexed="64"/>
      </patternFill>
    </fill>
    <fill>
      <patternFill patternType="solid">
        <fgColor theme="4"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4659260841701"/>
        <bgColor indexed="64"/>
      </patternFill>
    </fill>
    <fill>
      <patternFill patternType="solid">
        <fgColor theme="9" tint="0.79998168889431442"/>
        <bgColor indexed="64"/>
      </patternFill>
    </fill>
    <fill>
      <patternFill patternType="solid">
        <fgColor rgb="FFCCFFCC"/>
        <bgColor indexed="64"/>
      </patternFill>
    </fill>
    <fill>
      <patternFill patternType="solid">
        <fgColor theme="6" tint="0.59999389629810485"/>
        <bgColor indexed="64"/>
      </patternFill>
    </fill>
    <fill>
      <patternFill patternType="solid">
        <fgColor rgb="FFF2F2F2"/>
        <bgColor rgb="FF000000"/>
      </patternFill>
    </fill>
  </fills>
  <borders count="54">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auto="1"/>
      </top>
      <bottom/>
      <diagonal/>
    </border>
    <border>
      <left/>
      <right/>
      <top style="thin">
        <color auto="1"/>
      </top>
      <bottom style="thin">
        <color auto="1"/>
      </bottom>
      <diagonal/>
    </border>
    <border>
      <left/>
      <right/>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right/>
      <top/>
      <bottom style="medium">
        <color auto="1"/>
      </bottom>
      <diagonal/>
    </border>
    <border>
      <left/>
      <right/>
      <top style="medium">
        <color auto="1"/>
      </top>
      <bottom style="thin">
        <color auto="1"/>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hair">
        <color auto="1"/>
      </top>
      <bottom style="thin">
        <color auto="1"/>
      </bottom>
      <diagonal/>
    </border>
    <border>
      <left style="medium">
        <color auto="1"/>
      </left>
      <right/>
      <top/>
      <bottom style="thin">
        <color auto="1"/>
      </bottom>
      <diagonal/>
    </border>
    <border>
      <left style="medium">
        <color auto="1"/>
      </left>
      <right/>
      <top style="thin">
        <color auto="1"/>
      </top>
      <bottom style="medium">
        <color auto="1"/>
      </bottom>
      <diagonal/>
    </border>
    <border>
      <left style="medium">
        <color auto="1"/>
      </left>
      <right/>
      <top style="thin">
        <color auto="1"/>
      </top>
      <bottom/>
      <diagonal/>
    </border>
    <border>
      <left/>
      <right/>
      <top style="thin">
        <color auto="1"/>
      </top>
      <bottom style="medium">
        <color auto="1"/>
      </bottom>
      <diagonal/>
    </border>
    <border>
      <left/>
      <right style="medium">
        <color auto="1"/>
      </right>
      <top style="thin">
        <color auto="1"/>
      </top>
      <bottom style="medium">
        <color auto="1"/>
      </bottom>
      <diagonal/>
    </border>
    <border>
      <left/>
      <right style="medium">
        <color auto="1"/>
      </right>
      <top/>
      <bottom style="thin">
        <color auto="1"/>
      </bottom>
      <diagonal/>
    </border>
    <border>
      <left/>
      <right style="thin">
        <color auto="1"/>
      </right>
      <top style="medium">
        <color auto="1"/>
      </top>
      <bottom style="thin">
        <color auto="1"/>
      </bottom>
      <diagonal/>
    </border>
    <border>
      <left/>
      <right style="medium">
        <color auto="1"/>
      </right>
      <top style="thin">
        <color auto="1"/>
      </top>
      <bottom/>
      <diagonal/>
    </border>
    <border>
      <left style="medium">
        <color auto="1"/>
      </left>
      <right style="medium">
        <color auto="1"/>
      </right>
      <top style="medium">
        <color auto="1"/>
      </top>
      <bottom style="medium">
        <color auto="1"/>
      </bottom>
      <diagonal/>
    </border>
    <border>
      <left style="medium">
        <color auto="1"/>
      </left>
      <right/>
      <top style="thin">
        <color auto="1"/>
      </top>
      <bottom style="double">
        <color auto="1"/>
      </bottom>
      <diagonal/>
    </border>
    <border>
      <left/>
      <right/>
      <top style="thin">
        <color auto="1"/>
      </top>
      <bottom style="double">
        <color auto="1"/>
      </bottom>
      <diagonal/>
    </border>
    <border>
      <left style="thin">
        <color auto="1"/>
      </left>
      <right style="thin">
        <color auto="1"/>
      </right>
      <top style="medium">
        <color auto="1"/>
      </top>
      <bottom style="thin">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medium">
        <color auto="1"/>
      </right>
      <top/>
      <bottom style="medium">
        <color auto="1"/>
      </bottom>
      <diagonal/>
    </border>
    <border>
      <left/>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thin">
        <color auto="1"/>
      </bottom>
      <diagonal/>
    </border>
    <border>
      <left/>
      <right style="thin">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double">
        <color auto="1"/>
      </bottom>
      <diagonal/>
    </border>
    <border>
      <left style="medium">
        <color auto="1"/>
      </left>
      <right style="medium">
        <color auto="1"/>
      </right>
      <top style="double">
        <color auto="1"/>
      </top>
      <bottom style="thin">
        <color auto="1"/>
      </bottom>
      <diagonal/>
    </border>
    <border>
      <left style="medium">
        <color auto="1"/>
      </left>
      <right style="medium">
        <color auto="1"/>
      </right>
      <top/>
      <bottom/>
      <diagonal/>
    </border>
    <border>
      <left style="medium">
        <color auto="1"/>
      </left>
      <right style="medium">
        <color auto="1"/>
      </right>
      <top style="thin">
        <color auto="1"/>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right style="thin">
        <color auto="1"/>
      </right>
      <top style="thin">
        <color auto="1"/>
      </top>
      <bottom/>
      <diagonal/>
    </border>
    <border>
      <left style="medium">
        <color auto="1"/>
      </left>
      <right style="medium">
        <color auto="1"/>
      </right>
      <top style="thin">
        <color auto="1"/>
      </top>
      <bottom/>
      <diagonal/>
    </border>
    <border>
      <left style="medium">
        <color auto="1"/>
      </left>
      <right style="medium">
        <color auto="1"/>
      </right>
      <top/>
      <bottom style="thin">
        <color auto="1"/>
      </bottom>
      <diagonal/>
    </border>
    <border>
      <left style="medium">
        <color auto="1"/>
      </left>
      <right style="thin">
        <color auto="1"/>
      </right>
      <top style="medium">
        <color auto="1"/>
      </top>
      <bottom style="medium">
        <color auto="1"/>
      </bottom>
      <diagonal/>
    </border>
    <border>
      <left style="medium">
        <color auto="1"/>
      </left>
      <right style="thin">
        <color auto="1"/>
      </right>
      <top style="thin">
        <color auto="1"/>
      </top>
      <bottom style="medium">
        <color auto="1"/>
      </bottom>
      <diagonal/>
    </border>
  </borders>
  <cellStyleXfs count="673">
    <xf numFmtId="0" fontId="0" fillId="0" borderId="0"/>
    <xf numFmtId="164" fontId="1" fillId="0" borderId="0"/>
    <xf numFmtId="164" fontId="4" fillId="0" borderId="0"/>
    <xf numFmtId="164" fontId="5" fillId="0" borderId="0"/>
    <xf numFmtId="0" fontId="1" fillId="5" borderId="0" applyNumberFormat="0" applyBorder="0" applyAlignment="0" applyProtection="0"/>
    <xf numFmtId="164" fontId="3" fillId="2" borderId="1" applyNumberFormat="0" applyAlignment="0" applyProtection="0"/>
    <xf numFmtId="43" fontId="6" fillId="0" borderId="0" applyFont="0" applyFill="0" applyBorder="0" applyAlignment="0" applyProtection="0"/>
    <xf numFmtId="43" fontId="5" fillId="0" borderId="0" applyFont="0" applyFill="0" applyBorder="0" applyAlignment="0" applyProtection="0"/>
    <xf numFmtId="44" fontId="6" fillId="0" borderId="0" applyFont="0" applyFill="0" applyBorder="0" applyAlignment="0" applyProtection="0"/>
    <xf numFmtId="44" fontId="5" fillId="0" borderId="0" applyFont="0" applyFill="0" applyBorder="0" applyAlignment="0" applyProtection="0"/>
    <xf numFmtId="166" fontId="6" fillId="0" borderId="0" applyFont="0" applyFill="0" applyBorder="0" applyAlignment="0" applyProtection="0"/>
    <xf numFmtId="0" fontId="1" fillId="0" borderId="0"/>
    <xf numFmtId="0" fontId="1" fillId="0" borderId="0"/>
    <xf numFmtId="0" fontId="6" fillId="0" borderId="0"/>
    <xf numFmtId="0" fontId="6" fillId="0" borderId="0"/>
    <xf numFmtId="0" fontId="1" fillId="0" borderId="0"/>
    <xf numFmtId="0" fontId="6" fillId="0" borderId="0"/>
    <xf numFmtId="164" fontId="1" fillId="0" borderId="0"/>
    <xf numFmtId="0" fontId="1" fillId="0" borderId="0"/>
    <xf numFmtId="0" fontId="2" fillId="6" borderId="2" applyNumberFormat="0" applyAlignment="0" applyProtection="0"/>
    <xf numFmtId="9" fontId="5" fillId="0" borderId="0" applyFont="0" applyFill="0" applyBorder="0" applyAlignment="0" applyProtection="0"/>
    <xf numFmtId="164" fontId="7" fillId="0" borderId="0"/>
    <xf numFmtId="0" fontId="5" fillId="0" borderId="0"/>
    <xf numFmtId="164" fontId="1" fillId="0" borderId="0"/>
    <xf numFmtId="0" fontId="1" fillId="0" borderId="0"/>
    <xf numFmtId="44" fontId="1" fillId="0" borderId="0" applyFon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43" fontId="1" fillId="0" borderId="0" applyFon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cellStyleXfs>
  <cellXfs count="488">
    <xf numFmtId="0" fontId="0" fillId="0" borderId="0" xfId="0"/>
    <xf numFmtId="164" fontId="1" fillId="3" borderId="0" xfId="17" applyFont="1" applyFill="1"/>
    <xf numFmtId="164" fontId="1" fillId="3" borderId="0" xfId="17" applyFont="1" applyFill="1" applyBorder="1"/>
    <xf numFmtId="0" fontId="1" fillId="3" borderId="0" xfId="0" applyFont="1" applyFill="1"/>
    <xf numFmtId="164" fontId="11" fillId="8" borderId="11" xfId="1" applyFont="1" applyFill="1" applyBorder="1" applyAlignment="1">
      <alignment horizontal="left" vertical="center" indent="1"/>
    </xf>
    <xf numFmtId="164" fontId="13" fillId="3" borderId="26" xfId="1" applyFont="1" applyFill="1" applyBorder="1" applyAlignment="1">
      <alignment horizontal="left" indent="1"/>
    </xf>
    <xf numFmtId="164" fontId="1" fillId="3" borderId="17" xfId="1" applyFont="1" applyFill="1" applyBorder="1"/>
    <xf numFmtId="164" fontId="1" fillId="3" borderId="5" xfId="1" applyFont="1" applyFill="1" applyBorder="1"/>
    <xf numFmtId="164" fontId="1" fillId="3" borderId="11" xfId="1" applyFont="1" applyFill="1" applyBorder="1"/>
    <xf numFmtId="164" fontId="8" fillId="10" borderId="18" xfId="1" applyFont="1" applyFill="1" applyBorder="1" applyAlignment="1">
      <alignment vertical="center"/>
    </xf>
    <xf numFmtId="0" fontId="1" fillId="3" borderId="0" xfId="0" applyFont="1" applyFill="1" applyAlignment="1">
      <alignment vertical="center"/>
    </xf>
    <xf numFmtId="0" fontId="1" fillId="3" borderId="11" xfId="0" applyFont="1" applyFill="1" applyBorder="1"/>
    <xf numFmtId="0" fontId="1" fillId="3" borderId="0" xfId="0" applyFont="1" applyFill="1" applyBorder="1"/>
    <xf numFmtId="0" fontId="1" fillId="3" borderId="8" xfId="0" applyFont="1" applyFill="1" applyBorder="1"/>
    <xf numFmtId="164" fontId="1" fillId="3" borderId="0" xfId="23" applyFont="1" applyFill="1"/>
    <xf numFmtId="164" fontId="14" fillId="8" borderId="17" xfId="2" applyFont="1" applyFill="1" applyBorder="1" applyProtection="1"/>
    <xf numFmtId="164" fontId="1" fillId="3" borderId="0" xfId="23" applyFont="1" applyFill="1" applyBorder="1"/>
    <xf numFmtId="164" fontId="19" fillId="9" borderId="14" xfId="2" applyFont="1" applyFill="1" applyBorder="1" applyAlignment="1" applyProtection="1">
      <alignment horizontal="left" vertical="center" indent="1"/>
    </xf>
    <xf numFmtId="164" fontId="12" fillId="9" borderId="14" xfId="3" applyFont="1" applyFill="1" applyBorder="1" applyAlignment="1">
      <alignment horizontal="left" vertical="center" indent="2"/>
    </xf>
    <xf numFmtId="164" fontId="10" fillId="9" borderId="4" xfId="23" applyFont="1" applyFill="1" applyBorder="1"/>
    <xf numFmtId="164" fontId="15" fillId="9" borderId="14" xfId="2" applyFont="1" applyFill="1" applyBorder="1" applyAlignment="1" applyProtection="1">
      <alignment horizontal="left" vertical="center" indent="2"/>
    </xf>
    <xf numFmtId="44" fontId="1" fillId="9" borderId="15" xfId="25" applyFont="1" applyFill="1" applyBorder="1"/>
    <xf numFmtId="164" fontId="10" fillId="9" borderId="17" xfId="0" applyNumberFormat="1" applyFont="1" applyFill="1" applyBorder="1" applyAlignment="1">
      <alignment horizontal="left" vertical="center" indent="1"/>
    </xf>
    <xf numFmtId="164" fontId="12" fillId="9" borderId="18" xfId="3" applyFont="1" applyFill="1" applyBorder="1" applyAlignment="1">
      <alignment horizontal="left" vertical="center" indent="2"/>
    </xf>
    <xf numFmtId="164" fontId="12" fillId="4" borderId="32" xfId="3" applyFont="1" applyFill="1" applyBorder="1" applyAlignment="1">
      <alignment wrapText="1"/>
    </xf>
    <xf numFmtId="164" fontId="14" fillId="8" borderId="6" xfId="2" applyFont="1" applyFill="1" applyBorder="1" applyProtection="1"/>
    <xf numFmtId="164" fontId="1" fillId="3" borderId="0" xfId="17" applyFont="1" applyFill="1" applyBorder="1" applyAlignment="1">
      <alignment horizontal="right" indent="1"/>
    </xf>
    <xf numFmtId="164" fontId="14" fillId="7" borderId="6" xfId="2" applyFont="1" applyFill="1" applyBorder="1" applyProtection="1"/>
    <xf numFmtId="164" fontId="1" fillId="3" borderId="34" xfId="17" applyFont="1" applyFill="1" applyBorder="1"/>
    <xf numFmtId="164" fontId="1" fillId="3" borderId="10" xfId="17" applyFont="1" applyFill="1" applyBorder="1"/>
    <xf numFmtId="164" fontId="1" fillId="3" borderId="10" xfId="17" applyFont="1" applyFill="1" applyBorder="1" applyAlignment="1">
      <alignment horizontal="right" indent="1"/>
    </xf>
    <xf numFmtId="164" fontId="1" fillId="3" borderId="11" xfId="17" applyFont="1" applyFill="1" applyBorder="1"/>
    <xf numFmtId="164" fontId="15" fillId="9" borderId="14" xfId="2" applyFont="1" applyFill="1" applyBorder="1" applyAlignment="1" applyProtection="1">
      <alignment horizontal="left" vertical="center" indent="1"/>
    </xf>
    <xf numFmtId="164" fontId="11" fillId="3" borderId="0" xfId="0" applyNumberFormat="1" applyFont="1" applyFill="1" applyBorder="1"/>
    <xf numFmtId="0" fontId="1" fillId="3" borderId="11" xfId="0" applyFont="1" applyFill="1" applyBorder="1" applyAlignment="1">
      <alignment vertical="center"/>
    </xf>
    <xf numFmtId="3" fontId="10" fillId="3" borderId="0" xfId="0" applyNumberFormat="1" applyFont="1" applyFill="1" applyBorder="1" applyAlignment="1">
      <alignment vertical="center"/>
    </xf>
    <xf numFmtId="0" fontId="1" fillId="3" borderId="0" xfId="0" applyFont="1" applyFill="1" applyBorder="1" applyAlignment="1">
      <alignment vertical="center"/>
    </xf>
    <xf numFmtId="164" fontId="1" fillId="3" borderId="11" xfId="23" applyFont="1" applyFill="1" applyBorder="1"/>
    <xf numFmtId="164" fontId="12" fillId="9" borderId="14" xfId="3" applyFont="1" applyFill="1" applyBorder="1" applyAlignment="1">
      <alignment horizontal="left" vertical="center"/>
    </xf>
    <xf numFmtId="164" fontId="17" fillId="10" borderId="6" xfId="3" applyFont="1" applyFill="1" applyBorder="1" applyAlignment="1">
      <alignment vertical="center" wrapText="1"/>
    </xf>
    <xf numFmtId="164" fontId="21" fillId="3" borderId="16" xfId="3" applyFont="1" applyFill="1" applyBorder="1" applyAlignment="1">
      <alignment horizontal="left" vertical="center" wrapText="1" indent="2"/>
    </xf>
    <xf numFmtId="164" fontId="1" fillId="3" borderId="17" xfId="17" applyFont="1" applyFill="1" applyBorder="1"/>
    <xf numFmtId="164" fontId="1" fillId="3" borderId="5" xfId="17" applyFont="1" applyFill="1" applyBorder="1"/>
    <xf numFmtId="164" fontId="1" fillId="3" borderId="5" xfId="17" applyFont="1" applyFill="1" applyBorder="1" applyAlignment="1">
      <alignment horizontal="right" indent="1"/>
    </xf>
    <xf numFmtId="164" fontId="1" fillId="3" borderId="17" xfId="17" applyFont="1" applyFill="1" applyBorder="1" applyAlignment="1">
      <alignment horizontal="left" vertical="top"/>
    </xf>
    <xf numFmtId="164" fontId="17" fillId="11" borderId="6" xfId="3" applyFont="1" applyFill="1" applyBorder="1" applyAlignment="1">
      <alignment vertical="center" wrapText="1"/>
    </xf>
    <xf numFmtId="164" fontId="8" fillId="3" borderId="3" xfId="17" applyFont="1" applyFill="1" applyBorder="1"/>
    <xf numFmtId="164" fontId="24" fillId="3" borderId="3" xfId="17" applyFont="1" applyFill="1" applyBorder="1"/>
    <xf numFmtId="3" fontId="8" fillId="8" borderId="4" xfId="2" applyNumberFormat="1" applyFont="1" applyFill="1" applyBorder="1" applyAlignment="1" applyProtection="1">
      <alignment horizontal="right"/>
    </xf>
    <xf numFmtId="164" fontId="18" fillId="11" borderId="36" xfId="2" applyFont="1" applyFill="1" applyBorder="1" applyAlignment="1" applyProtection="1">
      <alignment vertical="center"/>
    </xf>
    <xf numFmtId="164" fontId="12" fillId="9" borderId="16" xfId="3" applyFont="1" applyFill="1" applyBorder="1" applyAlignment="1">
      <alignment horizontal="left" vertical="center" indent="1"/>
    </xf>
    <xf numFmtId="164" fontId="12" fillId="9" borderId="14" xfId="3" applyFont="1" applyFill="1" applyBorder="1" applyAlignment="1">
      <alignment horizontal="left" vertical="center" indent="1"/>
    </xf>
    <xf numFmtId="164" fontId="15" fillId="9" borderId="14" xfId="2" applyFont="1" applyFill="1" applyBorder="1" applyAlignment="1" applyProtection="1">
      <alignment horizontal="left" vertical="center" wrapText="1" indent="2"/>
    </xf>
    <xf numFmtId="164" fontId="15" fillId="9" borderId="19" xfId="2" applyFont="1" applyFill="1" applyBorder="1" applyAlignment="1" applyProtection="1">
      <alignment horizontal="left" vertical="center" wrapText="1" indent="2"/>
    </xf>
    <xf numFmtId="164" fontId="19" fillId="9" borderId="6" xfId="2" applyFont="1" applyFill="1" applyBorder="1" applyAlignment="1" applyProtection="1">
      <alignment horizontal="left" vertical="center" wrapText="1" indent="1"/>
    </xf>
    <xf numFmtId="6" fontId="19" fillId="9" borderId="3" xfId="2" applyNumberFormat="1" applyFont="1" applyFill="1" applyBorder="1" applyAlignment="1" applyProtection="1">
      <alignment horizontal="right" vertical="top"/>
    </xf>
    <xf numFmtId="6" fontId="19" fillId="9" borderId="29" xfId="2" applyNumberFormat="1" applyFont="1" applyFill="1" applyBorder="1" applyAlignment="1" applyProtection="1">
      <alignment horizontal="right" vertical="top"/>
    </xf>
    <xf numFmtId="164" fontId="15" fillId="9" borderId="13" xfId="2" applyFont="1" applyFill="1" applyBorder="1" applyAlignment="1" applyProtection="1">
      <alignment horizontal="left" vertical="center" indent="2"/>
    </xf>
    <xf numFmtId="0" fontId="0" fillId="3" borderId="0" xfId="0" applyFill="1"/>
    <xf numFmtId="0" fontId="29" fillId="3" borderId="0" xfId="0" applyFont="1" applyFill="1" applyBorder="1"/>
    <xf numFmtId="164" fontId="1" fillId="3" borderId="35" xfId="17" applyFont="1" applyFill="1" applyBorder="1"/>
    <xf numFmtId="0" fontId="1" fillId="3" borderId="12" xfId="0" applyFont="1" applyFill="1" applyBorder="1"/>
    <xf numFmtId="164" fontId="0" fillId="3" borderId="10" xfId="17" applyFont="1" applyFill="1" applyBorder="1" applyAlignment="1">
      <alignment horizontal="center"/>
    </xf>
    <xf numFmtId="164" fontId="1" fillId="3" borderId="0" xfId="17" applyFont="1" applyFill="1" applyBorder="1" applyAlignment="1">
      <alignment horizontal="center"/>
    </xf>
    <xf numFmtId="164" fontId="1" fillId="3" borderId="5" xfId="17" applyFont="1" applyFill="1" applyBorder="1" applyAlignment="1">
      <alignment horizontal="center"/>
    </xf>
    <xf numFmtId="0" fontId="1" fillId="3" borderId="0" xfId="0" applyFont="1" applyFill="1" applyBorder="1" applyAlignment="1">
      <alignment horizontal="center"/>
    </xf>
    <xf numFmtId="0" fontId="1" fillId="3" borderId="8" xfId="0" applyFont="1" applyFill="1" applyBorder="1" applyAlignment="1">
      <alignment horizontal="center"/>
    </xf>
    <xf numFmtId="164" fontId="1" fillId="3" borderId="3" xfId="17" applyFont="1" applyFill="1" applyBorder="1" applyAlignment="1">
      <alignment horizontal="center"/>
    </xf>
    <xf numFmtId="0" fontId="29" fillId="3" borderId="0" xfId="0" applyFont="1" applyFill="1" applyBorder="1" applyAlignment="1">
      <alignment horizontal="left" vertical="top"/>
    </xf>
    <xf numFmtId="9" fontId="1" fillId="12" borderId="39" xfId="0" applyNumberFormat="1" applyFont="1" applyFill="1" applyBorder="1"/>
    <xf numFmtId="9" fontId="9" fillId="12" borderId="40" xfId="0" applyNumberFormat="1" applyFont="1" applyFill="1" applyBorder="1"/>
    <xf numFmtId="0" fontId="30" fillId="12" borderId="38" xfId="0" applyFont="1" applyFill="1" applyBorder="1" applyAlignment="1">
      <alignment horizontal="center" vertical="center" wrapText="1"/>
    </xf>
    <xf numFmtId="164" fontId="1" fillId="3" borderId="3" xfId="17" applyFont="1" applyFill="1" applyBorder="1"/>
    <xf numFmtId="0" fontId="8" fillId="10" borderId="9" xfId="2" applyNumberFormat="1" applyFont="1" applyFill="1" applyBorder="1" applyAlignment="1" applyProtection="1">
      <alignment horizontal="center" vertical="center"/>
    </xf>
    <xf numFmtId="164" fontId="0" fillId="3" borderId="0" xfId="17" applyFont="1" applyFill="1" applyBorder="1" applyAlignment="1">
      <alignment horizontal="center" wrapText="1"/>
    </xf>
    <xf numFmtId="164" fontId="8" fillId="10" borderId="6" xfId="1" applyFont="1" applyFill="1" applyBorder="1" applyAlignment="1">
      <alignment horizontal="center" vertical="center"/>
    </xf>
    <xf numFmtId="0" fontId="30" fillId="12" borderId="38" xfId="0" applyFont="1" applyFill="1" applyBorder="1" applyAlignment="1">
      <alignment horizontal="center" vertical="center"/>
    </xf>
    <xf numFmtId="164" fontId="0" fillId="3" borderId="0" xfId="1" applyFont="1" applyFill="1" applyBorder="1"/>
    <xf numFmtId="164" fontId="1" fillId="3" borderId="0" xfId="1" applyFont="1" applyFill="1" applyBorder="1"/>
    <xf numFmtId="164" fontId="8" fillId="10" borderId="45" xfId="1" applyFont="1" applyFill="1" applyBorder="1" applyAlignment="1">
      <alignment horizontal="center" vertical="center"/>
    </xf>
    <xf numFmtId="164" fontId="11" fillId="8" borderId="47" xfId="1" applyFont="1" applyFill="1" applyBorder="1" applyAlignment="1">
      <alignment horizontal="left" vertical="center" indent="1"/>
    </xf>
    <xf numFmtId="3" fontId="8" fillId="8" borderId="37" xfId="2" applyNumberFormat="1" applyFont="1" applyFill="1" applyBorder="1" applyAlignment="1" applyProtection="1">
      <alignment horizontal="right"/>
    </xf>
    <xf numFmtId="164" fontId="10" fillId="3" borderId="45" xfId="1" applyFont="1" applyFill="1" applyBorder="1" applyAlignment="1">
      <alignment horizontal="left" indent="2"/>
    </xf>
    <xf numFmtId="42" fontId="12" fillId="3" borderId="46" xfId="25" applyNumberFormat="1" applyFont="1" applyFill="1" applyBorder="1" applyAlignment="1">
      <alignment horizontal="right"/>
    </xf>
    <xf numFmtId="164" fontId="11" fillId="8" borderId="48" xfId="1" applyFont="1" applyFill="1" applyBorder="1" applyAlignment="1">
      <alignment horizontal="left" vertical="center" indent="1"/>
    </xf>
    <xf numFmtId="44" fontId="14" fillId="8" borderId="49" xfId="2" applyNumberFormat="1" applyFont="1" applyFill="1" applyBorder="1" applyAlignment="1" applyProtection="1">
      <alignment horizontal="right"/>
    </xf>
    <xf numFmtId="167" fontId="12" fillId="3" borderId="46" xfId="25" applyNumberFormat="1" applyFont="1" applyFill="1" applyBorder="1" applyAlignment="1">
      <alignment horizontal="right"/>
    </xf>
    <xf numFmtId="164" fontId="11" fillId="8" borderId="45" xfId="1" applyFont="1" applyFill="1" applyBorder="1" applyAlignment="1">
      <alignment horizontal="left" vertical="center" indent="1"/>
    </xf>
    <xf numFmtId="3" fontId="8" fillId="8" borderId="46" xfId="2" applyNumberFormat="1" applyFont="1" applyFill="1" applyBorder="1" applyAlignment="1" applyProtection="1">
      <alignment horizontal="right"/>
    </xf>
    <xf numFmtId="164" fontId="10" fillId="9" borderId="45" xfId="0" applyNumberFormat="1" applyFont="1" applyFill="1" applyBorder="1" applyAlignment="1">
      <alignment horizontal="left" vertical="center" indent="1"/>
    </xf>
    <xf numFmtId="164" fontId="10" fillId="9" borderId="48" xfId="0" applyNumberFormat="1" applyFont="1" applyFill="1" applyBorder="1" applyAlignment="1">
      <alignment horizontal="left" vertical="center" indent="1"/>
    </xf>
    <xf numFmtId="0" fontId="8" fillId="10" borderId="4" xfId="2" applyNumberFormat="1" applyFont="1" applyFill="1" applyBorder="1" applyAlignment="1" applyProtection="1">
      <alignment horizontal="center" vertical="center"/>
    </xf>
    <xf numFmtId="164" fontId="8" fillId="10" borderId="45" xfId="1" applyFont="1" applyFill="1" applyBorder="1" applyAlignment="1">
      <alignment vertical="center"/>
    </xf>
    <xf numFmtId="164" fontId="13" fillId="3" borderId="14" xfId="1" applyFont="1" applyFill="1" applyBorder="1" applyAlignment="1">
      <alignment horizontal="left" indent="2"/>
    </xf>
    <xf numFmtId="164" fontId="13" fillId="3" borderId="19" xfId="1" applyFont="1" applyFill="1" applyBorder="1" applyAlignment="1">
      <alignment horizontal="left" indent="2"/>
    </xf>
    <xf numFmtId="164" fontId="10" fillId="3" borderId="14" xfId="0" applyNumberFormat="1" applyFont="1" applyFill="1" applyBorder="1" applyAlignment="1">
      <alignment horizontal="left" vertical="center" indent="2"/>
    </xf>
    <xf numFmtId="0" fontId="1" fillId="3" borderId="22" xfId="0" applyFont="1" applyFill="1" applyBorder="1"/>
    <xf numFmtId="0" fontId="1" fillId="3" borderId="24" xfId="0" applyFont="1" applyFill="1" applyBorder="1"/>
    <xf numFmtId="0" fontId="1" fillId="3" borderId="0" xfId="0" applyFont="1" applyFill="1" applyAlignment="1">
      <alignment horizontal="left" vertical="top" wrapText="1"/>
    </xf>
    <xf numFmtId="3" fontId="10" fillId="3" borderId="0" xfId="23" applyNumberFormat="1" applyFont="1" applyFill="1" applyBorder="1" applyAlignment="1">
      <alignment horizontal="right" vertical="center" indent="1"/>
    </xf>
    <xf numFmtId="0" fontId="1" fillId="3" borderId="0" xfId="0" applyFont="1" applyFill="1" applyAlignment="1">
      <alignment wrapText="1"/>
    </xf>
    <xf numFmtId="164" fontId="1" fillId="3" borderId="8" xfId="17" applyFont="1" applyFill="1" applyBorder="1"/>
    <xf numFmtId="164" fontId="1" fillId="3" borderId="8" xfId="17" applyFont="1" applyFill="1" applyBorder="1" applyAlignment="1">
      <alignment horizontal="right" indent="1"/>
    </xf>
    <xf numFmtId="164" fontId="0" fillId="3" borderId="8" xfId="17" applyFont="1" applyFill="1" applyBorder="1"/>
    <xf numFmtId="164" fontId="32" fillId="3" borderId="0" xfId="17" applyFont="1" applyFill="1" applyBorder="1"/>
    <xf numFmtId="0" fontId="33" fillId="3" borderId="0" xfId="0" applyFont="1" applyFill="1" applyBorder="1"/>
    <xf numFmtId="164" fontId="10" fillId="3" borderId="19" xfId="0" applyNumberFormat="1" applyFont="1" applyFill="1" applyBorder="1" applyAlignment="1">
      <alignment horizontal="left" vertical="center" indent="2"/>
    </xf>
    <xf numFmtId="3" fontId="10" fillId="3" borderId="46" xfId="0" applyNumberFormat="1" applyFont="1" applyFill="1" applyBorder="1" applyAlignment="1">
      <alignment horizontal="right" vertical="center" indent="1"/>
    </xf>
    <xf numFmtId="3" fontId="10" fillId="3" borderId="4" xfId="0" applyNumberFormat="1" applyFont="1" applyFill="1" applyBorder="1" applyAlignment="1">
      <alignment horizontal="right" vertical="center" indent="1"/>
    </xf>
    <xf numFmtId="0" fontId="1" fillId="3" borderId="5" xfId="0" applyFont="1" applyFill="1" applyBorder="1"/>
    <xf numFmtId="0" fontId="1" fillId="3" borderId="3" xfId="0" applyFont="1" applyFill="1" applyBorder="1"/>
    <xf numFmtId="164" fontId="1" fillId="3" borderId="12" xfId="17" applyFont="1" applyFill="1" applyBorder="1"/>
    <xf numFmtId="164" fontId="34" fillId="3" borderId="5" xfId="17" applyFont="1" applyFill="1" applyBorder="1"/>
    <xf numFmtId="164" fontId="11" fillId="8" borderId="0" xfId="1" applyFont="1" applyFill="1" applyBorder="1" applyAlignment="1">
      <alignment horizontal="left" vertical="center" indent="1"/>
    </xf>
    <xf numFmtId="164" fontId="10" fillId="3" borderId="4" xfId="1" applyFont="1" applyFill="1" applyBorder="1" applyAlignment="1">
      <alignment horizontal="left" indent="2"/>
    </xf>
    <xf numFmtId="164" fontId="11" fillId="8" borderId="3" xfId="1" applyFont="1" applyFill="1" applyBorder="1" applyAlignment="1">
      <alignment horizontal="left" vertical="center" indent="1"/>
    </xf>
    <xf numFmtId="164" fontId="8" fillId="10" borderId="4" xfId="1" applyFont="1" applyFill="1" applyBorder="1" applyAlignment="1">
      <alignment horizontal="center" vertical="center"/>
    </xf>
    <xf numFmtId="164" fontId="11" fillId="8" borderId="4" xfId="1" applyFont="1" applyFill="1" applyBorder="1" applyAlignment="1">
      <alignment horizontal="left" vertical="center" indent="1"/>
    </xf>
    <xf numFmtId="164" fontId="10" fillId="9" borderId="5" xfId="0" applyNumberFormat="1" applyFont="1" applyFill="1" applyBorder="1" applyAlignment="1">
      <alignment horizontal="left" vertical="center" indent="1"/>
    </xf>
    <xf numFmtId="164" fontId="10" fillId="9" borderId="4" xfId="0" applyNumberFormat="1" applyFont="1" applyFill="1" applyBorder="1" applyAlignment="1">
      <alignment horizontal="left" vertical="center" indent="1"/>
    </xf>
    <xf numFmtId="164" fontId="10" fillId="9" borderId="3" xfId="0" applyNumberFormat="1" applyFont="1" applyFill="1" applyBorder="1" applyAlignment="1">
      <alignment horizontal="left" vertical="center" indent="1"/>
    </xf>
    <xf numFmtId="164" fontId="8" fillId="10" borderId="9" xfId="1" applyFont="1" applyFill="1" applyBorder="1" applyAlignment="1">
      <alignment horizontal="center" vertical="center"/>
    </xf>
    <xf numFmtId="164" fontId="13" fillId="3" borderId="4" xfId="1" applyFont="1" applyFill="1" applyBorder="1" applyAlignment="1">
      <alignment horizontal="left" indent="2"/>
    </xf>
    <xf numFmtId="164" fontId="13" fillId="3" borderId="3" xfId="1" applyFont="1" applyFill="1" applyBorder="1" applyAlignment="1">
      <alignment horizontal="left" indent="2"/>
    </xf>
    <xf numFmtId="164" fontId="13" fillId="3" borderId="27" xfId="1" applyFont="1" applyFill="1" applyBorder="1" applyAlignment="1">
      <alignment horizontal="left" indent="1"/>
    </xf>
    <xf numFmtId="164" fontId="8" fillId="10" borderId="20" xfId="1" applyFont="1" applyFill="1" applyBorder="1" applyAlignment="1">
      <alignment vertical="center"/>
    </xf>
    <xf numFmtId="164" fontId="8" fillId="10" borderId="4" xfId="1" applyFont="1" applyFill="1" applyBorder="1" applyAlignment="1">
      <alignment vertical="center"/>
    </xf>
    <xf numFmtId="164" fontId="10" fillId="3" borderId="3" xfId="0" applyNumberFormat="1" applyFont="1" applyFill="1" applyBorder="1" applyAlignment="1">
      <alignment horizontal="left" vertical="center" indent="2"/>
    </xf>
    <xf numFmtId="164" fontId="10" fillId="3" borderId="4" xfId="0" applyNumberFormat="1" applyFont="1" applyFill="1" applyBorder="1" applyAlignment="1">
      <alignment horizontal="left" vertical="center" indent="2"/>
    </xf>
    <xf numFmtId="0" fontId="0" fillId="14" borderId="0" xfId="0" applyFill="1"/>
    <xf numFmtId="0" fontId="23" fillId="3" borderId="0" xfId="0" applyFont="1" applyFill="1" applyBorder="1"/>
    <xf numFmtId="168" fontId="10" fillId="3" borderId="4" xfId="0" applyNumberFormat="1" applyFont="1" applyFill="1" applyBorder="1" applyAlignment="1">
      <alignment horizontal="right" vertical="center" indent="1"/>
    </xf>
    <xf numFmtId="168" fontId="10" fillId="3" borderId="46" xfId="0" applyNumberFormat="1" applyFont="1" applyFill="1" applyBorder="1" applyAlignment="1">
      <alignment horizontal="right" vertical="center" indent="1"/>
    </xf>
    <xf numFmtId="44" fontId="1" fillId="3" borderId="0" xfId="0" applyNumberFormat="1" applyFont="1" applyFill="1" applyAlignment="1">
      <alignment vertical="center"/>
    </xf>
    <xf numFmtId="168" fontId="10" fillId="3" borderId="5" xfId="0" applyNumberFormat="1" applyFont="1" applyFill="1" applyBorder="1" applyAlignment="1">
      <alignment horizontal="right" vertical="center" indent="1"/>
    </xf>
    <xf numFmtId="164" fontId="36" fillId="3" borderId="10" xfId="17" applyFont="1" applyFill="1" applyBorder="1" applyAlignment="1">
      <alignment horizontal="right"/>
    </xf>
    <xf numFmtId="164" fontId="1" fillId="3" borderId="13" xfId="17" applyFont="1" applyFill="1" applyBorder="1"/>
    <xf numFmtId="164" fontId="1" fillId="3" borderId="44" xfId="17" applyFont="1" applyFill="1" applyBorder="1"/>
    <xf numFmtId="0" fontId="22" fillId="3" borderId="20" xfId="0" applyFont="1" applyFill="1" applyBorder="1"/>
    <xf numFmtId="0" fontId="0" fillId="3" borderId="3" xfId="0" applyFill="1" applyBorder="1"/>
    <xf numFmtId="0" fontId="0" fillId="3" borderId="0" xfId="0" applyFont="1" applyFill="1"/>
    <xf numFmtId="3" fontId="10" fillId="15" borderId="25" xfId="23" applyNumberFormat="1" applyFont="1" applyFill="1" applyBorder="1" applyAlignment="1">
      <alignment horizontal="right" vertical="center" indent="1"/>
    </xf>
    <xf numFmtId="3" fontId="1" fillId="13" borderId="25" xfId="23" applyNumberFormat="1" applyFont="1" applyFill="1" applyBorder="1" applyAlignment="1">
      <alignment horizontal="left" vertical="top" wrapText="1"/>
    </xf>
    <xf numFmtId="3" fontId="9" fillId="13" borderId="25" xfId="23" applyNumberFormat="1" applyFont="1" applyFill="1" applyBorder="1" applyAlignment="1">
      <alignment horizontal="left" vertical="top" wrapText="1"/>
    </xf>
    <xf numFmtId="3" fontId="0" fillId="13" borderId="25" xfId="23" applyNumberFormat="1" applyFont="1" applyFill="1" applyBorder="1" applyAlignment="1">
      <alignment horizontal="left" vertical="top" wrapText="1"/>
    </xf>
    <xf numFmtId="164" fontId="1" fillId="3" borderId="10" xfId="17" applyFont="1" applyFill="1" applyBorder="1" applyAlignment="1">
      <alignment horizontal="left"/>
    </xf>
    <xf numFmtId="164" fontId="1" fillId="3" borderId="0" xfId="17" applyFont="1" applyFill="1" applyBorder="1" applyAlignment="1">
      <alignment horizontal="left"/>
    </xf>
    <xf numFmtId="164" fontId="1" fillId="3" borderId="5" xfId="17" applyFont="1" applyFill="1" applyBorder="1" applyAlignment="1">
      <alignment horizontal="left"/>
    </xf>
    <xf numFmtId="0" fontId="1" fillId="3" borderId="0" xfId="0" applyFont="1" applyFill="1" applyBorder="1" applyAlignment="1">
      <alignment horizontal="left"/>
    </xf>
    <xf numFmtId="3" fontId="8" fillId="8" borderId="5" xfId="2" applyNumberFormat="1" applyFont="1" applyFill="1" applyBorder="1" applyAlignment="1" applyProtection="1">
      <alignment horizontal="left"/>
    </xf>
    <xf numFmtId="42" fontId="12" fillId="3" borderId="4" xfId="25" applyNumberFormat="1" applyFont="1" applyFill="1" applyBorder="1" applyAlignment="1">
      <alignment horizontal="left"/>
    </xf>
    <xf numFmtId="42" fontId="12" fillId="3" borderId="3" xfId="25" applyNumberFormat="1" applyFont="1" applyFill="1" applyBorder="1" applyAlignment="1">
      <alignment horizontal="left"/>
    </xf>
    <xf numFmtId="42" fontId="9" fillId="3" borderId="27" xfId="25" applyNumberFormat="1" applyFont="1" applyFill="1" applyBorder="1" applyAlignment="1">
      <alignment horizontal="left"/>
    </xf>
    <xf numFmtId="164" fontId="1" fillId="3" borderId="5" xfId="1" applyFont="1" applyFill="1" applyBorder="1" applyAlignment="1">
      <alignment horizontal="left"/>
    </xf>
    <xf numFmtId="44" fontId="14" fillId="8" borderId="0" xfId="2" applyNumberFormat="1" applyFont="1" applyFill="1" applyBorder="1" applyAlignment="1" applyProtection="1">
      <alignment horizontal="left"/>
    </xf>
    <xf numFmtId="167" fontId="12" fillId="3" borderId="4" xfId="25" applyNumberFormat="1" applyFont="1" applyFill="1" applyBorder="1" applyAlignment="1">
      <alignment horizontal="left"/>
    </xf>
    <xf numFmtId="167" fontId="9" fillId="3" borderId="27" xfId="25" applyNumberFormat="1" applyFont="1" applyFill="1" applyBorder="1" applyAlignment="1">
      <alignment horizontal="left"/>
    </xf>
    <xf numFmtId="167" fontId="1" fillId="3" borderId="0" xfId="25" applyNumberFormat="1" applyFont="1" applyFill="1" applyBorder="1" applyAlignment="1">
      <alignment horizontal="left"/>
    </xf>
    <xf numFmtId="167" fontId="28" fillId="16" borderId="20" xfId="25" applyNumberFormat="1" applyFont="1" applyFill="1" applyBorder="1" applyAlignment="1">
      <alignment horizontal="left" vertical="center"/>
    </xf>
    <xf numFmtId="8" fontId="28" fillId="16" borderId="4" xfId="25" applyNumberFormat="1" applyFont="1" applyFill="1" applyBorder="1" applyAlignment="1">
      <alignment horizontal="left" vertical="center"/>
    </xf>
    <xf numFmtId="42" fontId="10" fillId="3" borderId="3" xfId="25" applyNumberFormat="1" applyFont="1" applyFill="1" applyBorder="1" applyAlignment="1">
      <alignment horizontal="left"/>
    </xf>
    <xf numFmtId="42" fontId="10" fillId="3" borderId="4" xfId="25" applyNumberFormat="1" applyFont="1" applyFill="1" applyBorder="1" applyAlignment="1">
      <alignment horizontal="left"/>
    </xf>
    <xf numFmtId="167" fontId="28" fillId="3" borderId="20" xfId="25" applyNumberFormat="1" applyFont="1" applyFill="1" applyBorder="1" applyAlignment="1">
      <alignment horizontal="left" vertical="center"/>
    </xf>
    <xf numFmtId="0" fontId="1" fillId="3" borderId="8" xfId="0" applyFont="1" applyFill="1" applyBorder="1" applyAlignment="1">
      <alignment horizontal="left"/>
    </xf>
    <xf numFmtId="0" fontId="0" fillId="0" borderId="0" xfId="0" applyAlignment="1">
      <alignment horizontal="left"/>
    </xf>
    <xf numFmtId="164" fontId="1" fillId="3" borderId="0" xfId="17" applyFont="1" applyFill="1" applyBorder="1" applyAlignment="1">
      <alignment horizontal="left" indent="1"/>
    </xf>
    <xf numFmtId="3" fontId="8" fillId="8" borderId="4" xfId="2" applyNumberFormat="1" applyFont="1" applyFill="1" applyBorder="1" applyAlignment="1" applyProtection="1">
      <alignment horizontal="left"/>
    </xf>
    <xf numFmtId="3" fontId="8" fillId="8" borderId="39" xfId="2" applyNumberFormat="1" applyFont="1" applyFill="1" applyBorder="1" applyAlignment="1" applyProtection="1">
      <alignment horizontal="left"/>
    </xf>
    <xf numFmtId="167" fontId="1" fillId="12" borderId="39" xfId="0" applyNumberFormat="1" applyFont="1" applyFill="1" applyBorder="1" applyAlignment="1">
      <alignment horizontal="left"/>
    </xf>
    <xf numFmtId="167" fontId="9" fillId="12" borderId="40" xfId="0" applyNumberFormat="1" applyFont="1" applyFill="1" applyBorder="1" applyAlignment="1">
      <alignment horizontal="left"/>
    </xf>
    <xf numFmtId="165" fontId="1" fillId="3" borderId="5" xfId="1" applyNumberFormat="1" applyFont="1" applyFill="1" applyBorder="1" applyAlignment="1">
      <alignment horizontal="left"/>
    </xf>
    <xf numFmtId="0" fontId="1" fillId="3" borderId="41" xfId="0" applyFont="1" applyFill="1" applyBorder="1" applyAlignment="1">
      <alignment horizontal="left"/>
    </xf>
    <xf numFmtId="44" fontId="14" fillId="8" borderId="42" xfId="2" applyNumberFormat="1" applyFont="1" applyFill="1" applyBorder="1" applyAlignment="1" applyProtection="1">
      <alignment horizontal="left"/>
    </xf>
    <xf numFmtId="167" fontId="9" fillId="3" borderId="27" xfId="25" applyNumberFormat="1" applyFont="1" applyFill="1" applyBorder="1" applyAlignment="1">
      <alignment horizontal="left" indent="1"/>
    </xf>
    <xf numFmtId="0" fontId="1" fillId="3" borderId="42" xfId="0" applyFont="1" applyFill="1" applyBorder="1" applyAlignment="1">
      <alignment horizontal="left"/>
    </xf>
    <xf numFmtId="167" fontId="27" fillId="16" borderId="43" xfId="0" applyNumberFormat="1" applyFont="1" applyFill="1" applyBorder="1" applyAlignment="1">
      <alignment horizontal="left"/>
    </xf>
    <xf numFmtId="42" fontId="10" fillId="3" borderId="24" xfId="25" applyNumberFormat="1" applyFont="1" applyFill="1" applyBorder="1" applyAlignment="1">
      <alignment horizontal="left"/>
    </xf>
    <xf numFmtId="42" fontId="10" fillId="3" borderId="15" xfId="25" applyNumberFormat="1" applyFont="1" applyFill="1" applyBorder="1" applyAlignment="1">
      <alignment horizontal="left"/>
    </xf>
    <xf numFmtId="167" fontId="28" fillId="3" borderId="21" xfId="25" applyNumberFormat="1" applyFont="1" applyFill="1" applyBorder="1" applyAlignment="1">
      <alignment horizontal="left" vertical="center"/>
    </xf>
    <xf numFmtId="167" fontId="9" fillId="16" borderId="40" xfId="0" applyNumberFormat="1" applyFont="1" applyFill="1" applyBorder="1" applyAlignment="1">
      <alignment horizontal="left"/>
    </xf>
    <xf numFmtId="0" fontId="39" fillId="3" borderId="0" xfId="0" applyFont="1" applyFill="1" applyBorder="1"/>
    <xf numFmtId="0" fontId="40" fillId="3" borderId="0" xfId="0" applyFont="1" applyFill="1" applyBorder="1" applyAlignment="1">
      <alignment horizontal="left" vertical="top"/>
    </xf>
    <xf numFmtId="44" fontId="1" fillId="0" borderId="25" xfId="17" applyNumberFormat="1" applyFont="1" applyFill="1" applyBorder="1"/>
    <xf numFmtId="164" fontId="32" fillId="3" borderId="0" xfId="17" applyFont="1" applyFill="1" applyBorder="1" applyAlignment="1">
      <alignment vertical="center"/>
    </xf>
    <xf numFmtId="44" fontId="1" fillId="17" borderId="25" xfId="17" applyNumberFormat="1" applyFont="1" applyFill="1" applyBorder="1"/>
    <xf numFmtId="164" fontId="17" fillId="8" borderId="6" xfId="3" applyFont="1" applyFill="1" applyBorder="1" applyAlignment="1">
      <alignment vertical="center" wrapText="1"/>
    </xf>
    <xf numFmtId="164" fontId="1" fillId="0" borderId="11" xfId="23" applyFont="1" applyFill="1" applyBorder="1"/>
    <xf numFmtId="0" fontId="1" fillId="0" borderId="0" xfId="0" applyFont="1" applyFill="1" applyBorder="1"/>
    <xf numFmtId="164" fontId="15" fillId="0" borderId="19" xfId="2" applyFont="1" applyFill="1" applyBorder="1" applyAlignment="1" applyProtection="1">
      <alignment horizontal="left" vertical="center" indent="2"/>
    </xf>
    <xf numFmtId="0" fontId="1" fillId="0" borderId="0" xfId="0" applyFont="1" applyFill="1"/>
    <xf numFmtId="0" fontId="1" fillId="0" borderId="0" xfId="0" applyFont="1" applyFill="1" applyAlignment="1">
      <alignment vertical="center"/>
    </xf>
    <xf numFmtId="0" fontId="9" fillId="0" borderId="0" xfId="0" applyFont="1" applyFill="1"/>
    <xf numFmtId="0" fontId="9" fillId="0" borderId="0" xfId="0" applyFont="1" applyFill="1" applyAlignment="1">
      <alignment vertical="center"/>
    </xf>
    <xf numFmtId="164" fontId="12" fillId="9" borderId="19" xfId="3" applyFont="1" applyFill="1" applyBorder="1" applyAlignment="1">
      <alignment horizontal="left" vertical="center" indent="2"/>
    </xf>
    <xf numFmtId="164" fontId="12" fillId="9" borderId="3" xfId="3" applyFont="1" applyFill="1" applyBorder="1" applyAlignment="1">
      <alignment horizontal="left" vertical="center" indent="2"/>
    </xf>
    <xf numFmtId="0" fontId="34" fillId="3" borderId="0" xfId="0" applyFont="1" applyFill="1" applyBorder="1"/>
    <xf numFmtId="164" fontId="0" fillId="3" borderId="0" xfId="23" applyFont="1" applyFill="1"/>
    <xf numFmtId="164" fontId="13" fillId="9" borderId="17" xfId="0" applyNumberFormat="1" applyFont="1" applyFill="1" applyBorder="1" applyAlignment="1">
      <alignment horizontal="left" vertical="center" indent="1"/>
    </xf>
    <xf numFmtId="168" fontId="10" fillId="3" borderId="37" xfId="0" applyNumberFormat="1" applyFont="1" applyFill="1" applyBorder="1" applyAlignment="1">
      <alignment horizontal="right" vertical="center" indent="1"/>
    </xf>
    <xf numFmtId="164" fontId="13" fillId="3" borderId="4" xfId="1" applyFont="1" applyFill="1" applyBorder="1" applyAlignment="1">
      <alignment horizontal="right" indent="2"/>
    </xf>
    <xf numFmtId="167" fontId="1" fillId="12" borderId="50" xfId="0" applyNumberFormat="1" applyFont="1" applyFill="1" applyBorder="1" applyAlignment="1">
      <alignment horizontal="left"/>
    </xf>
    <xf numFmtId="42" fontId="12" fillId="3" borderId="5" xfId="25" applyNumberFormat="1" applyFont="1" applyFill="1" applyBorder="1" applyAlignment="1">
      <alignment horizontal="left"/>
    </xf>
    <xf numFmtId="167" fontId="1" fillId="12" borderId="51" xfId="0" applyNumberFormat="1" applyFont="1" applyFill="1" applyBorder="1" applyAlignment="1">
      <alignment horizontal="left"/>
    </xf>
    <xf numFmtId="164" fontId="10" fillId="3" borderId="0" xfId="1" applyFont="1" applyFill="1" applyBorder="1" applyAlignment="1">
      <alignment horizontal="left" indent="4"/>
    </xf>
    <xf numFmtId="42" fontId="12" fillId="3" borderId="0" xfId="25" applyNumberFormat="1" applyFont="1" applyFill="1" applyBorder="1" applyAlignment="1">
      <alignment horizontal="left"/>
    </xf>
    <xf numFmtId="164" fontId="10" fillId="3" borderId="5" xfId="1" applyFont="1" applyFill="1" applyBorder="1" applyAlignment="1">
      <alignment horizontal="left" indent="4"/>
    </xf>
    <xf numFmtId="164" fontId="10" fillId="3" borderId="11" xfId="1" applyFont="1" applyFill="1" applyBorder="1" applyAlignment="1">
      <alignment horizontal="left" indent="4"/>
    </xf>
    <xf numFmtId="164" fontId="10" fillId="3" borderId="17" xfId="1" applyFont="1" applyFill="1" applyBorder="1" applyAlignment="1">
      <alignment horizontal="left" indent="4"/>
    </xf>
    <xf numFmtId="167" fontId="1" fillId="12" borderId="42" xfId="0" applyNumberFormat="1" applyFont="1" applyFill="1" applyBorder="1" applyAlignment="1">
      <alignment horizontal="left"/>
    </xf>
    <xf numFmtId="164" fontId="13" fillId="3" borderId="11" xfId="1" applyFont="1" applyFill="1" applyBorder="1" applyAlignment="1">
      <alignment horizontal="left" indent="2"/>
    </xf>
    <xf numFmtId="164" fontId="13" fillId="3" borderId="0" xfId="1" applyFont="1" applyFill="1" applyBorder="1" applyAlignment="1">
      <alignment horizontal="left" indent="2"/>
    </xf>
    <xf numFmtId="164" fontId="34" fillId="3" borderId="0" xfId="17" applyFont="1" applyFill="1" applyBorder="1" applyAlignment="1">
      <alignment horizontal="left" indent="1"/>
    </xf>
    <xf numFmtId="164" fontId="13" fillId="3" borderId="14" xfId="1" applyFont="1" applyFill="1" applyBorder="1" applyAlignment="1">
      <alignment horizontal="left" indent="1"/>
    </xf>
    <xf numFmtId="164" fontId="35" fillId="3" borderId="0" xfId="1" applyFont="1" applyFill="1" applyBorder="1" applyAlignment="1">
      <alignment horizontal="left" indent="2"/>
    </xf>
    <xf numFmtId="42" fontId="35" fillId="3" borderId="0" xfId="25" applyNumberFormat="1" applyFont="1" applyFill="1" applyBorder="1" applyAlignment="1">
      <alignment horizontal="right"/>
    </xf>
    <xf numFmtId="164" fontId="44" fillId="3" borderId="0" xfId="17" applyFont="1" applyFill="1" applyBorder="1" applyAlignment="1">
      <alignment horizontal="left"/>
    </xf>
    <xf numFmtId="0" fontId="22" fillId="0" borderId="0" xfId="0" applyFont="1" applyFill="1" applyBorder="1" applyAlignment="1">
      <alignment horizontal="left" vertical="top" wrapText="1"/>
    </xf>
    <xf numFmtId="3" fontId="45" fillId="18" borderId="25" xfId="0" applyNumberFormat="1" applyFont="1" applyFill="1" applyBorder="1" applyAlignment="1">
      <alignment horizontal="left" vertical="top" wrapText="1"/>
    </xf>
    <xf numFmtId="3" fontId="45" fillId="18" borderId="29" xfId="0" applyNumberFormat="1" applyFont="1" applyFill="1" applyBorder="1" applyAlignment="1">
      <alignment horizontal="left" vertical="top" wrapText="1"/>
    </xf>
    <xf numFmtId="3" fontId="45" fillId="18" borderId="31" xfId="0" applyNumberFormat="1" applyFont="1" applyFill="1" applyBorder="1" applyAlignment="1">
      <alignment horizontal="left" vertical="top" wrapText="1"/>
    </xf>
    <xf numFmtId="3" fontId="45" fillId="18" borderId="44" xfId="0" applyNumberFormat="1" applyFont="1" applyFill="1" applyBorder="1" applyAlignment="1">
      <alignment horizontal="left" vertical="top" wrapText="1"/>
    </xf>
    <xf numFmtId="0" fontId="1" fillId="3" borderId="0" xfId="0" applyFont="1" applyFill="1" applyAlignment="1">
      <alignment vertical="top"/>
    </xf>
    <xf numFmtId="0" fontId="0" fillId="3" borderId="0" xfId="0" applyFont="1" applyFill="1" applyAlignment="1">
      <alignment vertical="top"/>
    </xf>
    <xf numFmtId="164" fontId="1" fillId="3" borderId="34" xfId="17" applyFont="1" applyFill="1" applyBorder="1" applyAlignment="1">
      <alignment vertical="top"/>
    </xf>
    <xf numFmtId="164" fontId="1" fillId="3" borderId="10" xfId="17" applyFont="1" applyFill="1" applyBorder="1" applyAlignment="1">
      <alignment vertical="top"/>
    </xf>
    <xf numFmtId="164" fontId="1" fillId="3" borderId="10" xfId="17" applyFont="1" applyFill="1" applyBorder="1" applyAlignment="1">
      <alignment horizontal="right" vertical="top" indent="1"/>
    </xf>
    <xf numFmtId="164" fontId="1" fillId="3" borderId="0" xfId="17" applyFont="1" applyFill="1" applyAlignment="1">
      <alignment vertical="top"/>
    </xf>
    <xf numFmtId="164" fontId="1" fillId="3" borderId="17" xfId="17" applyFont="1" applyFill="1" applyBorder="1" applyAlignment="1">
      <alignment vertical="top"/>
    </xf>
    <xf numFmtId="164" fontId="1" fillId="3" borderId="0" xfId="17" applyFont="1" applyFill="1" applyBorder="1" applyAlignment="1">
      <alignment vertical="top"/>
    </xf>
    <xf numFmtId="164" fontId="1" fillId="3" borderId="0" xfId="17" applyFont="1" applyFill="1" applyBorder="1" applyAlignment="1">
      <alignment horizontal="right" vertical="top" indent="1"/>
    </xf>
    <xf numFmtId="164" fontId="1" fillId="3" borderId="5" xfId="17" applyFont="1" applyFill="1" applyBorder="1" applyAlignment="1">
      <alignment vertical="top"/>
    </xf>
    <xf numFmtId="164" fontId="1" fillId="3" borderId="11" xfId="17" applyFont="1" applyFill="1" applyBorder="1" applyAlignment="1">
      <alignment vertical="top"/>
    </xf>
    <xf numFmtId="164" fontId="1" fillId="3" borderId="3" xfId="17" applyFont="1" applyFill="1" applyBorder="1" applyAlignment="1">
      <alignment vertical="top"/>
    </xf>
    <xf numFmtId="164" fontId="8" fillId="3" borderId="3" xfId="17" applyFont="1" applyFill="1" applyBorder="1" applyAlignment="1">
      <alignment vertical="top"/>
    </xf>
    <xf numFmtId="164" fontId="24" fillId="3" borderId="3" xfId="17" applyFont="1" applyFill="1" applyBorder="1" applyAlignment="1">
      <alignment vertical="top"/>
    </xf>
    <xf numFmtId="0" fontId="22" fillId="0" borderId="0" xfId="0" applyFont="1" applyFill="1" applyBorder="1" applyAlignment="1">
      <alignment vertical="top"/>
    </xf>
    <xf numFmtId="0" fontId="0" fillId="0" borderId="0" xfId="0" applyFill="1" applyBorder="1" applyAlignment="1">
      <alignment vertical="top"/>
    </xf>
    <xf numFmtId="164" fontId="8" fillId="3" borderId="0" xfId="17" applyFont="1" applyFill="1" applyBorder="1" applyAlignment="1">
      <alignment vertical="top"/>
    </xf>
    <xf numFmtId="164" fontId="24" fillId="3" borderId="0" xfId="17" applyFont="1" applyFill="1" applyBorder="1" applyAlignment="1">
      <alignment vertical="top"/>
    </xf>
    <xf numFmtId="0" fontId="1" fillId="3" borderId="11" xfId="0" applyFont="1" applyFill="1" applyBorder="1" applyAlignment="1">
      <alignment vertical="top"/>
    </xf>
    <xf numFmtId="164" fontId="11" fillId="3" borderId="0" xfId="0" applyNumberFormat="1" applyFont="1" applyFill="1" applyBorder="1" applyAlignment="1">
      <alignment vertical="top"/>
    </xf>
    <xf numFmtId="164" fontId="17" fillId="11" borderId="6" xfId="3" applyFont="1" applyFill="1" applyBorder="1" applyAlignment="1">
      <alignment vertical="top" wrapText="1"/>
    </xf>
    <xf numFmtId="164" fontId="11" fillId="10" borderId="9" xfId="3" applyFont="1" applyFill="1" applyBorder="1" applyAlignment="1">
      <alignment horizontal="center" vertical="top" wrapText="1"/>
    </xf>
    <xf numFmtId="164" fontId="11" fillId="10" borderId="7" xfId="3" applyFont="1" applyFill="1" applyBorder="1" applyAlignment="1">
      <alignment horizontal="center" vertical="top" wrapText="1"/>
    </xf>
    <xf numFmtId="164" fontId="1" fillId="0" borderId="0" xfId="17" applyFont="1" applyFill="1" applyBorder="1" applyAlignment="1">
      <alignment vertical="top"/>
    </xf>
    <xf numFmtId="3" fontId="10" fillId="3" borderId="0" xfId="0" applyNumberFormat="1" applyFont="1" applyFill="1" applyBorder="1" applyAlignment="1">
      <alignment vertical="top"/>
    </xf>
    <xf numFmtId="0" fontId="1" fillId="0" borderId="0" xfId="0" applyFont="1" applyFill="1" applyBorder="1" applyAlignment="1">
      <alignment vertical="top"/>
    </xf>
    <xf numFmtId="0" fontId="1" fillId="3" borderId="0" xfId="0" applyFont="1" applyFill="1" applyBorder="1" applyAlignment="1">
      <alignment vertical="top"/>
    </xf>
    <xf numFmtId="164" fontId="16" fillId="11" borderId="30" xfId="2" applyFont="1" applyFill="1" applyBorder="1" applyAlignment="1" applyProtection="1">
      <alignment horizontal="center" vertical="top" wrapText="1"/>
    </xf>
    <xf numFmtId="164" fontId="16" fillId="11" borderId="33" xfId="2" applyFont="1" applyFill="1" applyBorder="1" applyAlignment="1" applyProtection="1">
      <alignment horizontal="center" vertical="top" wrapText="1"/>
    </xf>
    <xf numFmtId="0" fontId="22" fillId="3" borderId="0" xfId="0" applyFont="1" applyFill="1" applyAlignment="1">
      <alignment vertical="top"/>
    </xf>
    <xf numFmtId="164" fontId="1" fillId="3" borderId="11" xfId="23" applyFont="1" applyFill="1" applyBorder="1" applyAlignment="1">
      <alignment vertical="top"/>
    </xf>
    <xf numFmtId="164" fontId="17" fillId="10" borderId="6" xfId="3" applyFont="1" applyFill="1" applyBorder="1" applyAlignment="1">
      <alignment vertical="top" wrapText="1"/>
    </xf>
    <xf numFmtId="164" fontId="18" fillId="10" borderId="28" xfId="2" applyFont="1" applyFill="1" applyBorder="1" applyAlignment="1" applyProtection="1">
      <alignment horizontal="center" vertical="top" wrapText="1"/>
    </xf>
    <xf numFmtId="164" fontId="18" fillId="10" borderId="23" xfId="2" applyFont="1" applyFill="1" applyBorder="1" applyAlignment="1" applyProtection="1">
      <alignment horizontal="center" vertical="top" wrapText="1"/>
    </xf>
    <xf numFmtId="44" fontId="18" fillId="10" borderId="7" xfId="25" applyFont="1" applyFill="1" applyBorder="1" applyAlignment="1" applyProtection="1">
      <alignment horizontal="center" vertical="top" wrapText="1"/>
    </xf>
    <xf numFmtId="0" fontId="1" fillId="0" borderId="0" xfId="0" applyFont="1" applyFill="1" applyAlignment="1">
      <alignment vertical="top"/>
    </xf>
    <xf numFmtId="0" fontId="9" fillId="0" borderId="0" xfId="0" applyFont="1" applyFill="1" applyAlignment="1">
      <alignment vertical="top"/>
    </xf>
    <xf numFmtId="164" fontId="1" fillId="8" borderId="0" xfId="23" applyFont="1" applyFill="1" applyBorder="1" applyAlignment="1">
      <alignment vertical="top"/>
    </xf>
    <xf numFmtId="44" fontId="1" fillId="8" borderId="12" xfId="25" applyFont="1" applyFill="1" applyBorder="1" applyAlignment="1">
      <alignment vertical="top"/>
    </xf>
    <xf numFmtId="164" fontId="1" fillId="3" borderId="0" xfId="23" applyFont="1" applyFill="1" applyBorder="1" applyAlignment="1">
      <alignment vertical="top"/>
    </xf>
    <xf numFmtId="164" fontId="10" fillId="9" borderId="4" xfId="23" applyFont="1" applyFill="1" applyBorder="1" applyAlignment="1">
      <alignment horizontal="center" vertical="top"/>
    </xf>
    <xf numFmtId="44" fontId="1" fillId="9" borderId="22" xfId="25" applyFont="1" applyFill="1" applyBorder="1" applyAlignment="1">
      <alignment vertical="top"/>
    </xf>
    <xf numFmtId="6" fontId="15" fillId="9" borderId="4" xfId="2" applyNumberFormat="1" applyFont="1" applyFill="1" applyBorder="1" applyAlignment="1" applyProtection="1">
      <alignment vertical="top"/>
    </xf>
    <xf numFmtId="6" fontId="15" fillId="9" borderId="4" xfId="2" applyNumberFormat="1" applyFont="1" applyFill="1" applyBorder="1" applyAlignment="1" applyProtection="1">
      <alignment horizontal="right" vertical="top" indent="1"/>
    </xf>
    <xf numFmtId="44" fontId="15" fillId="9" borderId="24" xfId="25" applyFont="1" applyFill="1" applyBorder="1" applyAlignment="1" applyProtection="1">
      <alignment horizontal="right" vertical="top" indent="1"/>
    </xf>
    <xf numFmtId="164" fontId="10" fillId="9" borderId="4" xfId="23" applyFont="1" applyFill="1" applyBorder="1" applyAlignment="1">
      <alignment vertical="top"/>
    </xf>
    <xf numFmtId="164" fontId="10" fillId="9" borderId="3" xfId="23" applyFont="1" applyFill="1" applyBorder="1" applyAlignment="1">
      <alignment vertical="top"/>
    </xf>
    <xf numFmtId="164" fontId="10" fillId="9" borderId="20" xfId="23" applyFont="1" applyFill="1" applyBorder="1" applyAlignment="1">
      <alignment vertical="top"/>
    </xf>
    <xf numFmtId="164" fontId="12" fillId="4" borderId="32" xfId="3" applyFont="1" applyFill="1" applyBorder="1" applyAlignment="1">
      <alignment vertical="top" wrapText="1"/>
    </xf>
    <xf numFmtId="164" fontId="10" fillId="3" borderId="32" xfId="23" applyFont="1" applyFill="1" applyBorder="1" applyAlignment="1">
      <alignment vertical="top"/>
    </xf>
    <xf numFmtId="164" fontId="10" fillId="3" borderId="32" xfId="23" applyFont="1" applyFill="1" applyBorder="1" applyAlignment="1">
      <alignment horizontal="right" vertical="top" indent="1"/>
    </xf>
    <xf numFmtId="44" fontId="10" fillId="3" borderId="32" xfId="25" applyFont="1" applyFill="1" applyBorder="1" applyAlignment="1">
      <alignment horizontal="right" vertical="top" indent="1"/>
    </xf>
    <xf numFmtId="164" fontId="14" fillId="8" borderId="9" xfId="2" applyFont="1" applyFill="1" applyBorder="1" applyAlignment="1" applyProtection="1">
      <alignment horizontal="center" vertical="top"/>
    </xf>
    <xf numFmtId="44" fontId="14" fillId="8" borderId="7" xfId="25" applyFont="1" applyFill="1" applyBorder="1" applyAlignment="1" applyProtection="1">
      <alignment horizontal="center" vertical="top"/>
    </xf>
    <xf numFmtId="164" fontId="15" fillId="9" borderId="14" xfId="2" applyFont="1" applyFill="1" applyBorder="1" applyAlignment="1" applyProtection="1">
      <alignment horizontal="left" vertical="top" wrapText="1" indent="2"/>
    </xf>
    <xf numFmtId="0" fontId="34" fillId="3" borderId="0" xfId="0" applyFont="1" applyFill="1" applyAlignment="1">
      <alignment vertical="top"/>
    </xf>
    <xf numFmtId="164" fontId="21" fillId="3" borderId="16" xfId="3" applyFont="1" applyFill="1" applyBorder="1" applyAlignment="1">
      <alignment horizontal="left" vertical="top" wrapText="1" indent="2"/>
    </xf>
    <xf numFmtId="6" fontId="15" fillId="9" borderId="15" xfId="2" applyNumberFormat="1" applyFont="1" applyFill="1" applyBorder="1" applyAlignment="1" applyProtection="1">
      <alignment vertical="top"/>
    </xf>
    <xf numFmtId="164" fontId="15" fillId="9" borderId="19" xfId="2" applyFont="1" applyFill="1" applyBorder="1" applyAlignment="1" applyProtection="1">
      <alignment horizontal="left" vertical="top" wrapText="1" indent="2"/>
    </xf>
    <xf numFmtId="6" fontId="15" fillId="9" borderId="3" xfId="2" applyNumberFormat="1" applyFont="1" applyFill="1" applyBorder="1" applyAlignment="1" applyProtection="1">
      <alignment vertical="top"/>
    </xf>
    <xf numFmtId="44" fontId="19" fillId="0" borderId="25" xfId="2" applyNumberFormat="1" applyFont="1" applyFill="1" applyBorder="1" applyAlignment="1" applyProtection="1">
      <alignment vertical="top"/>
    </xf>
    <xf numFmtId="164" fontId="19" fillId="9" borderId="6" xfId="2" applyFont="1" applyFill="1" applyBorder="1" applyAlignment="1" applyProtection="1">
      <alignment horizontal="left" vertical="top" wrapText="1" indent="1"/>
    </xf>
    <xf numFmtId="6" fontId="15" fillId="9" borderId="9" xfId="2" applyNumberFormat="1" applyFont="1" applyFill="1" applyBorder="1" applyAlignment="1" applyProtection="1">
      <alignment vertical="top"/>
    </xf>
    <xf numFmtId="6" fontId="15" fillId="9" borderId="9" xfId="2" applyNumberFormat="1" applyFont="1" applyFill="1" applyBorder="1" applyAlignment="1" applyProtection="1">
      <alignment horizontal="right" vertical="top" indent="1"/>
    </xf>
    <xf numFmtId="44" fontId="15" fillId="9" borderId="12" xfId="25" applyFont="1" applyFill="1" applyBorder="1" applyAlignment="1" applyProtection="1">
      <alignment horizontal="right" vertical="top" indent="1"/>
    </xf>
    <xf numFmtId="164" fontId="1" fillId="3" borderId="0" xfId="23" applyFont="1" applyFill="1" applyAlignment="1">
      <alignment vertical="top"/>
    </xf>
    <xf numFmtId="164" fontId="1" fillId="0" borderId="11" xfId="23" applyFont="1" applyFill="1" applyBorder="1" applyAlignment="1">
      <alignment vertical="top"/>
    </xf>
    <xf numFmtId="6" fontId="15" fillId="0" borderId="3" xfId="2" applyNumberFormat="1" applyFont="1" applyFill="1" applyBorder="1" applyAlignment="1" applyProtection="1">
      <alignment vertical="top"/>
    </xf>
    <xf numFmtId="6" fontId="19" fillId="0" borderId="3" xfId="2" applyNumberFormat="1" applyFont="1" applyFill="1" applyBorder="1" applyAlignment="1" applyProtection="1">
      <alignment vertical="top"/>
    </xf>
    <xf numFmtId="8" fontId="19" fillId="0" borderId="12" xfId="2" applyNumberFormat="1" applyFont="1" applyFill="1" applyBorder="1" applyAlignment="1" applyProtection="1">
      <alignment vertical="top"/>
    </xf>
    <xf numFmtId="164" fontId="14" fillId="7" borderId="9" xfId="2" applyFont="1" applyFill="1" applyBorder="1" applyAlignment="1" applyProtection="1">
      <alignment horizontal="center" vertical="top"/>
    </xf>
    <xf numFmtId="44" fontId="14" fillId="7" borderId="7" xfId="25" applyFont="1" applyFill="1" applyBorder="1" applyAlignment="1" applyProtection="1">
      <alignment horizontal="center" vertical="top"/>
    </xf>
    <xf numFmtId="3" fontId="12" fillId="9" borderId="3" xfId="3" applyNumberFormat="1" applyFont="1" applyFill="1" applyBorder="1" applyAlignment="1">
      <alignment horizontal="right" vertical="top" indent="1"/>
    </xf>
    <xf numFmtId="164" fontId="10" fillId="9" borderId="15" xfId="23" applyFont="1" applyFill="1" applyBorder="1" applyAlignment="1">
      <alignment vertical="top"/>
    </xf>
    <xf numFmtId="164" fontId="10" fillId="9" borderId="8" xfId="23" applyFont="1" applyFill="1" applyBorder="1" applyAlignment="1">
      <alignment vertical="top"/>
    </xf>
    <xf numFmtId="164" fontId="1" fillId="3" borderId="0" xfId="23" applyFont="1" applyFill="1" applyAlignment="1">
      <alignment horizontal="right" vertical="top" indent="1"/>
    </xf>
    <xf numFmtId="44" fontId="1" fillId="3" borderId="0" xfId="25" applyFont="1" applyFill="1" applyAlignment="1">
      <alignment horizontal="right" vertical="top" indent="1"/>
    </xf>
    <xf numFmtId="2" fontId="1" fillId="3" borderId="0" xfId="23" applyNumberFormat="1" applyFont="1" applyFill="1" applyAlignment="1">
      <alignment vertical="top"/>
    </xf>
    <xf numFmtId="164" fontId="17" fillId="8" borderId="6" xfId="3" applyFont="1" applyFill="1" applyBorder="1" applyAlignment="1">
      <alignment vertical="top" wrapText="1"/>
    </xf>
    <xf numFmtId="164" fontId="11" fillId="8" borderId="9" xfId="3" applyFont="1" applyFill="1" applyBorder="1" applyAlignment="1">
      <alignment horizontal="center" vertical="top" wrapText="1"/>
    </xf>
    <xf numFmtId="164" fontId="11" fillId="8" borderId="7" xfId="3" applyFont="1" applyFill="1" applyBorder="1" applyAlignment="1">
      <alignment horizontal="center" vertical="top" wrapText="1"/>
    </xf>
    <xf numFmtId="3" fontId="10" fillId="0" borderId="31" xfId="0" applyNumberFormat="1" applyFont="1" applyFill="1" applyBorder="1" applyAlignment="1">
      <alignment horizontal="right" vertical="top" indent="1"/>
    </xf>
    <xf numFmtId="3" fontId="45" fillId="18" borderId="52" xfId="0" applyNumberFormat="1" applyFont="1" applyFill="1" applyBorder="1" applyAlignment="1">
      <alignment horizontal="left" vertical="top" wrapText="1"/>
    </xf>
    <xf numFmtId="3" fontId="45" fillId="18" borderId="33" xfId="0" applyNumberFormat="1" applyFont="1" applyFill="1" applyBorder="1" applyAlignment="1">
      <alignment horizontal="left" vertical="top" wrapText="1"/>
    </xf>
    <xf numFmtId="0" fontId="46" fillId="3" borderId="0" xfId="0" applyFont="1" applyFill="1" applyAlignment="1">
      <alignment horizontal="left" vertical="top" wrapText="1"/>
    </xf>
    <xf numFmtId="3" fontId="20" fillId="13" borderId="25" xfId="23" applyNumberFormat="1" applyFont="1" applyFill="1" applyBorder="1" applyAlignment="1">
      <alignment horizontal="left" vertical="top" wrapText="1"/>
    </xf>
    <xf numFmtId="164" fontId="13" fillId="9" borderId="45" xfId="0" applyNumberFormat="1" applyFont="1" applyFill="1" applyBorder="1" applyAlignment="1">
      <alignment horizontal="left" vertical="center" indent="1"/>
    </xf>
    <xf numFmtId="164" fontId="13" fillId="9" borderId="4" xfId="0" applyNumberFormat="1" applyFont="1" applyFill="1" applyBorder="1" applyAlignment="1">
      <alignment horizontal="left" vertical="center" indent="1"/>
    </xf>
    <xf numFmtId="3" fontId="13" fillId="3" borderId="4" xfId="0" applyNumberFormat="1" applyFont="1" applyFill="1" applyBorder="1" applyAlignment="1">
      <alignment horizontal="right" vertical="center" indent="1"/>
    </xf>
    <xf numFmtId="3" fontId="13" fillId="3" borderId="46" xfId="0" applyNumberFormat="1" applyFont="1" applyFill="1" applyBorder="1" applyAlignment="1">
      <alignment horizontal="right" vertical="center" indent="1"/>
    </xf>
    <xf numFmtId="8" fontId="28" fillId="16" borderId="4" xfId="25" applyNumberFormat="1" applyFont="1" applyFill="1" applyBorder="1" applyAlignment="1">
      <alignment horizontal="center" vertical="center"/>
    </xf>
    <xf numFmtId="8" fontId="28" fillId="16" borderId="46" xfId="25" applyNumberFormat="1" applyFont="1" applyFill="1" applyBorder="1" applyAlignment="1">
      <alignment horizontal="center" vertical="center"/>
    </xf>
    <xf numFmtId="0" fontId="1" fillId="0" borderId="0" xfId="0" applyFont="1" applyFill="1" applyBorder="1" applyAlignment="1">
      <alignment horizontal="center"/>
    </xf>
    <xf numFmtId="164" fontId="10" fillId="0" borderId="0" xfId="0" applyNumberFormat="1" applyFont="1" applyFill="1" applyBorder="1" applyAlignment="1">
      <alignment horizontal="left" vertical="center" indent="1"/>
    </xf>
    <xf numFmtId="168" fontId="10" fillId="0" borderId="0" xfId="0" applyNumberFormat="1" applyFont="1" applyFill="1" applyBorder="1" applyAlignment="1">
      <alignment horizontal="right" vertical="center" indent="1"/>
    </xf>
    <xf numFmtId="164" fontId="19" fillId="3" borderId="14" xfId="1" applyFont="1" applyFill="1" applyBorder="1" applyAlignment="1">
      <alignment horizontal="left" indent="2"/>
    </xf>
    <xf numFmtId="42" fontId="47" fillId="3" borderId="3" xfId="25" applyNumberFormat="1" applyFont="1" applyFill="1" applyBorder="1" applyAlignment="1">
      <alignment horizontal="left"/>
    </xf>
    <xf numFmtId="42" fontId="47" fillId="3" borderId="4" xfId="25" applyNumberFormat="1" applyFont="1" applyFill="1" applyBorder="1" applyAlignment="1">
      <alignment horizontal="left"/>
    </xf>
    <xf numFmtId="167" fontId="47" fillId="3" borderId="4" xfId="25" applyNumberFormat="1" applyFont="1" applyFill="1" applyBorder="1" applyAlignment="1">
      <alignment horizontal="left"/>
    </xf>
    <xf numFmtId="42" fontId="47" fillId="3" borderId="0" xfId="25" applyNumberFormat="1" applyFont="1" applyFill="1" applyBorder="1" applyAlignment="1">
      <alignment horizontal="left"/>
    </xf>
    <xf numFmtId="167" fontId="9" fillId="12" borderId="39" xfId="0" applyNumberFormat="1" applyFont="1" applyFill="1" applyBorder="1" applyAlignment="1">
      <alignment horizontal="left"/>
    </xf>
    <xf numFmtId="167" fontId="9" fillId="12" borderId="50" xfId="0" applyNumberFormat="1" applyFont="1" applyFill="1" applyBorder="1" applyAlignment="1">
      <alignment horizontal="left"/>
    </xf>
    <xf numFmtId="167" fontId="9" fillId="12" borderId="42" xfId="0" applyNumberFormat="1" applyFont="1" applyFill="1" applyBorder="1" applyAlignment="1">
      <alignment horizontal="left"/>
    </xf>
    <xf numFmtId="167" fontId="9" fillId="12" borderId="51" xfId="0" applyNumberFormat="1" applyFont="1" applyFill="1" applyBorder="1" applyAlignment="1">
      <alignment horizontal="left"/>
    </xf>
    <xf numFmtId="164" fontId="32" fillId="3" borderId="34" xfId="17" applyFont="1" applyFill="1" applyBorder="1" applyAlignment="1">
      <alignment vertical="center"/>
    </xf>
    <xf numFmtId="164" fontId="1" fillId="3" borderId="35" xfId="17" applyFont="1" applyFill="1" applyBorder="1" applyAlignment="1">
      <alignment vertical="center"/>
    </xf>
    <xf numFmtId="164" fontId="32" fillId="3" borderId="11" xfId="17" applyFont="1" applyFill="1" applyBorder="1" applyAlignment="1">
      <alignment vertical="center"/>
    </xf>
    <xf numFmtId="164" fontId="1" fillId="3" borderId="12" xfId="17" applyFont="1" applyFill="1" applyBorder="1" applyAlignment="1">
      <alignment vertical="center"/>
    </xf>
    <xf numFmtId="164" fontId="32" fillId="3" borderId="13" xfId="17" applyFont="1" applyFill="1" applyBorder="1" applyAlignment="1">
      <alignment vertical="center"/>
    </xf>
    <xf numFmtId="0" fontId="1" fillId="3" borderId="44" xfId="0" applyFont="1" applyFill="1" applyBorder="1" applyAlignment="1">
      <alignment vertical="center"/>
    </xf>
    <xf numFmtId="164" fontId="12" fillId="9" borderId="14" xfId="3" applyFont="1" applyFill="1" applyBorder="1" applyAlignment="1">
      <alignment horizontal="left" vertical="top" wrapText="1" indent="1"/>
    </xf>
    <xf numFmtId="0" fontId="0" fillId="3" borderId="0" xfId="0" applyFont="1" applyFill="1" applyAlignment="1">
      <alignment vertical="top" wrapText="1"/>
    </xf>
    <xf numFmtId="0" fontId="1" fillId="3" borderId="0" xfId="0" applyFont="1" applyFill="1" applyAlignment="1">
      <alignment vertical="top" wrapText="1"/>
    </xf>
    <xf numFmtId="164" fontId="1" fillId="3" borderId="10" xfId="17" applyFont="1" applyFill="1" applyBorder="1" applyAlignment="1">
      <alignment vertical="top" wrapText="1"/>
    </xf>
    <xf numFmtId="164" fontId="1" fillId="3" borderId="0" xfId="17" applyFont="1" applyFill="1" applyBorder="1" applyAlignment="1">
      <alignment vertical="top" wrapText="1"/>
    </xf>
    <xf numFmtId="164" fontId="1" fillId="3" borderId="3" xfId="17" applyFont="1" applyFill="1" applyBorder="1" applyAlignment="1">
      <alignment vertical="top" wrapText="1"/>
    </xf>
    <xf numFmtId="164" fontId="10" fillId="9" borderId="17" xfId="0" applyNumberFormat="1" applyFont="1" applyFill="1" applyBorder="1" applyAlignment="1">
      <alignment horizontal="left" vertical="top" wrapText="1" indent="1"/>
    </xf>
    <xf numFmtId="164" fontId="18" fillId="11" borderId="36" xfId="2" applyFont="1" applyFill="1" applyBorder="1" applyAlignment="1" applyProtection="1">
      <alignment vertical="top" wrapText="1"/>
    </xf>
    <xf numFmtId="164" fontId="12" fillId="9" borderId="16" xfId="3" applyFont="1" applyFill="1" applyBorder="1" applyAlignment="1">
      <alignment horizontal="left" vertical="top" wrapText="1" indent="1"/>
    </xf>
    <xf numFmtId="0" fontId="23" fillId="3" borderId="0" xfId="0" applyFont="1" applyFill="1" applyBorder="1" applyAlignment="1">
      <alignment vertical="top" wrapText="1"/>
    </xf>
    <xf numFmtId="0" fontId="1" fillId="3" borderId="0" xfId="0" applyFont="1" applyFill="1" applyBorder="1" applyAlignment="1">
      <alignment vertical="top" wrapText="1"/>
    </xf>
    <xf numFmtId="164" fontId="14" fillId="8" borderId="17" xfId="2" applyFont="1" applyFill="1" applyBorder="1" applyAlignment="1" applyProtection="1">
      <alignment vertical="top" wrapText="1"/>
    </xf>
    <xf numFmtId="164" fontId="12" fillId="9" borderId="14" xfId="3" applyFont="1" applyFill="1" applyBorder="1" applyAlignment="1">
      <alignment horizontal="left" vertical="top" wrapText="1"/>
    </xf>
    <xf numFmtId="164" fontId="19" fillId="9" borderId="14" xfId="2" applyFont="1" applyFill="1" applyBorder="1" applyAlignment="1" applyProtection="1">
      <alignment horizontal="left" vertical="top" wrapText="1" indent="1"/>
    </xf>
    <xf numFmtId="164" fontId="12" fillId="9" borderId="14" xfId="3" applyFont="1" applyFill="1" applyBorder="1" applyAlignment="1">
      <alignment horizontal="left" vertical="top" wrapText="1" indent="2"/>
    </xf>
    <xf numFmtId="164" fontId="12" fillId="9" borderId="19" xfId="3" applyFont="1" applyFill="1" applyBorder="1" applyAlignment="1">
      <alignment horizontal="left" vertical="top" wrapText="1" indent="2"/>
    </xf>
    <xf numFmtId="164" fontId="12" fillId="9" borderId="18" xfId="3" applyFont="1" applyFill="1" applyBorder="1" applyAlignment="1">
      <alignment horizontal="left" vertical="top" wrapText="1" indent="2"/>
    </xf>
    <xf numFmtId="164" fontId="14" fillId="8" borderId="6" xfId="2" applyFont="1" applyFill="1" applyBorder="1" applyAlignment="1" applyProtection="1">
      <alignment vertical="top" wrapText="1"/>
    </xf>
    <xf numFmtId="164" fontId="15" fillId="0" borderId="19" xfId="2" applyFont="1" applyFill="1" applyBorder="1" applyAlignment="1" applyProtection="1">
      <alignment horizontal="left" vertical="top" wrapText="1" indent="2"/>
    </xf>
    <xf numFmtId="164" fontId="14" fillId="7" borderId="6" xfId="2" applyFont="1" applyFill="1" applyBorder="1" applyAlignment="1" applyProtection="1">
      <alignment vertical="top" wrapText="1"/>
    </xf>
    <xf numFmtId="164" fontId="15" fillId="9" borderId="14" xfId="2" applyFont="1" applyFill="1" applyBorder="1" applyAlignment="1" applyProtection="1">
      <alignment horizontal="left" vertical="center" wrapText="1" indent="1"/>
    </xf>
    <xf numFmtId="164" fontId="19" fillId="9" borderId="14" xfId="2" applyFont="1" applyFill="1" applyBorder="1" applyAlignment="1" applyProtection="1">
      <alignment horizontal="left" vertical="center" wrapText="1" indent="1"/>
    </xf>
    <xf numFmtId="164" fontId="15" fillId="9" borderId="13" xfId="2" applyFont="1" applyFill="1" applyBorder="1" applyAlignment="1" applyProtection="1">
      <alignment horizontal="left" vertical="top" wrapText="1" indent="2"/>
    </xf>
    <xf numFmtId="164" fontId="1" fillId="3" borderId="0" xfId="23" applyFont="1" applyFill="1" applyAlignment="1">
      <alignment vertical="top" wrapText="1"/>
    </xf>
    <xf numFmtId="164" fontId="0" fillId="3" borderId="0" xfId="23" applyFont="1" applyFill="1" applyAlignment="1">
      <alignment vertical="top" wrapText="1"/>
    </xf>
    <xf numFmtId="164" fontId="10" fillId="9" borderId="53" xfId="0" applyNumberFormat="1" applyFont="1" applyFill="1" applyBorder="1" applyAlignment="1">
      <alignment horizontal="left" vertical="top" wrapText="1" indent="1"/>
    </xf>
    <xf numFmtId="164" fontId="8" fillId="10" borderId="34" xfId="3" applyFont="1" applyFill="1" applyBorder="1" applyAlignment="1">
      <alignment horizontal="center" vertical="top" wrapText="1"/>
    </xf>
    <xf numFmtId="164" fontId="8" fillId="10" borderId="35" xfId="3" applyFont="1" applyFill="1" applyBorder="1" applyAlignment="1">
      <alignment horizontal="center" vertical="top" wrapText="1"/>
    </xf>
    <xf numFmtId="164" fontId="13" fillId="9" borderId="13" xfId="0" applyNumberFormat="1" applyFont="1" applyFill="1" applyBorder="1" applyAlignment="1">
      <alignment horizontal="left" vertical="top" wrapText="1" indent="1"/>
    </xf>
    <xf numFmtId="3" fontId="10" fillId="15" borderId="31" xfId="0" applyNumberFormat="1" applyFont="1" applyFill="1" applyBorder="1" applyAlignment="1" applyProtection="1">
      <alignment horizontal="right" vertical="center" indent="1"/>
      <protection locked="0"/>
    </xf>
    <xf numFmtId="3" fontId="10" fillId="15" borderId="25" xfId="0" applyNumberFormat="1" applyFont="1" applyFill="1" applyBorder="1" applyAlignment="1" applyProtection="1">
      <alignment horizontal="right" vertical="center" indent="1"/>
      <protection locked="0"/>
    </xf>
    <xf numFmtId="164" fontId="1" fillId="3" borderId="0" xfId="17" applyFont="1" applyFill="1" applyBorder="1" applyProtection="1">
      <protection locked="0"/>
    </xf>
    <xf numFmtId="164" fontId="1" fillId="3" borderId="0" xfId="17" applyFont="1" applyFill="1" applyBorder="1" applyAlignment="1" applyProtection="1">
      <alignment horizontal="right" indent="1"/>
      <protection locked="0"/>
    </xf>
    <xf numFmtId="164" fontId="16" fillId="11" borderId="30" xfId="2" applyFont="1" applyFill="1" applyBorder="1" applyAlignment="1" applyProtection="1">
      <alignment horizontal="center" vertical="center" wrapText="1"/>
      <protection locked="0"/>
    </xf>
    <xf numFmtId="164" fontId="16" fillId="11" borderId="33" xfId="2" applyFont="1" applyFill="1" applyBorder="1" applyAlignment="1" applyProtection="1">
      <alignment horizontal="center" vertical="center" wrapText="1"/>
      <protection locked="0"/>
    </xf>
    <xf numFmtId="0" fontId="1" fillId="3" borderId="0" xfId="0" applyFont="1" applyFill="1" applyBorder="1" applyProtection="1">
      <protection locked="0"/>
    </xf>
    <xf numFmtId="3" fontId="10" fillId="15" borderId="25" xfId="23" applyNumberFormat="1" applyFont="1" applyFill="1" applyBorder="1" applyAlignment="1" applyProtection="1">
      <alignment horizontal="right" vertical="center" indent="1"/>
      <protection locked="0"/>
    </xf>
    <xf numFmtId="0" fontId="1" fillId="3" borderId="0" xfId="0" applyFont="1" applyFill="1" applyAlignment="1" applyProtection="1">
      <alignment vertical="center"/>
      <protection locked="0"/>
    </xf>
    <xf numFmtId="164" fontId="34" fillId="3" borderId="0" xfId="17" applyFont="1" applyFill="1" applyBorder="1" applyAlignment="1" applyProtection="1">
      <alignment horizontal="right" indent="1"/>
      <protection locked="0"/>
    </xf>
    <xf numFmtId="0" fontId="0" fillId="3" borderId="0" xfId="0" applyFont="1" applyFill="1" applyBorder="1" applyProtection="1">
      <protection locked="0"/>
    </xf>
    <xf numFmtId="9" fontId="15" fillId="15" borderId="25" xfId="23" applyNumberFormat="1" applyFont="1" applyFill="1" applyBorder="1" applyAlignment="1" applyProtection="1">
      <alignment horizontal="right" indent="1"/>
      <protection locked="0"/>
    </xf>
    <xf numFmtId="164" fontId="18" fillId="10" borderId="28" xfId="2" applyFont="1" applyFill="1" applyBorder="1" applyAlignment="1" applyProtection="1">
      <alignment horizontal="center" vertical="center" wrapText="1"/>
      <protection locked="0"/>
    </xf>
    <xf numFmtId="164" fontId="18" fillId="10" borderId="23" xfId="2" applyFont="1" applyFill="1" applyBorder="1" applyAlignment="1" applyProtection="1">
      <alignment horizontal="center" vertical="center" wrapText="1"/>
      <protection locked="0"/>
    </xf>
    <xf numFmtId="44" fontId="18" fillId="10" borderId="7" xfId="25" applyFont="1" applyFill="1" applyBorder="1" applyAlignment="1" applyProtection="1">
      <alignment horizontal="center" vertical="center" wrapText="1"/>
      <protection locked="0"/>
    </xf>
    <xf numFmtId="164" fontId="1" fillId="8" borderId="0" xfId="23" applyFont="1" applyFill="1" applyBorder="1" applyProtection="1">
      <protection locked="0"/>
    </xf>
    <xf numFmtId="44" fontId="1" fillId="8" borderId="12" xfId="25" applyFont="1" applyFill="1" applyBorder="1" applyProtection="1">
      <protection locked="0"/>
    </xf>
    <xf numFmtId="164" fontId="1" fillId="3" borderId="0" xfId="23" applyFont="1" applyFill="1" applyBorder="1" applyProtection="1">
      <protection locked="0"/>
    </xf>
    <xf numFmtId="164" fontId="10" fillId="9" borderId="4" xfId="23" applyFont="1" applyFill="1" applyBorder="1" applyAlignment="1" applyProtection="1">
      <alignment horizontal="center"/>
      <protection locked="0"/>
    </xf>
    <xf numFmtId="9" fontId="10" fillId="15" borderId="25" xfId="23" applyNumberFormat="1" applyFont="1" applyFill="1" applyBorder="1" applyAlignment="1" applyProtection="1">
      <alignment horizontal="right" indent="1"/>
      <protection locked="0"/>
    </xf>
    <xf numFmtId="44" fontId="1" fillId="9" borderId="22" xfId="25" applyFont="1" applyFill="1" applyBorder="1" applyProtection="1">
      <protection locked="0"/>
    </xf>
    <xf numFmtId="164" fontId="10" fillId="3" borderId="0" xfId="23" applyNumberFormat="1" applyFont="1" applyFill="1" applyBorder="1" applyProtection="1">
      <protection locked="0"/>
    </xf>
    <xf numFmtId="6" fontId="15" fillId="9" borderId="4" xfId="2" applyNumberFormat="1" applyFont="1" applyFill="1" applyBorder="1" applyProtection="1">
      <protection locked="0"/>
    </xf>
    <xf numFmtId="6" fontId="15" fillId="9" borderId="4" xfId="2" applyNumberFormat="1" applyFont="1" applyFill="1" applyBorder="1" applyAlignment="1" applyProtection="1">
      <alignment horizontal="right" indent="1"/>
      <protection locked="0"/>
    </xf>
    <xf numFmtId="44" fontId="15" fillId="9" borderId="24" xfId="25" applyFont="1" applyFill="1" applyBorder="1" applyAlignment="1" applyProtection="1">
      <alignment horizontal="right" indent="1"/>
      <protection locked="0"/>
    </xf>
    <xf numFmtId="164" fontId="20" fillId="3" borderId="0" xfId="23" applyFont="1" applyFill="1" applyBorder="1" applyProtection="1">
      <protection locked="0"/>
    </xf>
    <xf numFmtId="164" fontId="10" fillId="9" borderId="4" xfId="23" applyFont="1" applyFill="1" applyBorder="1" applyProtection="1">
      <protection locked="0"/>
    </xf>
    <xf numFmtId="3" fontId="10" fillId="15" borderId="25" xfId="23" applyNumberFormat="1" applyFont="1" applyFill="1" applyBorder="1" applyAlignment="1" applyProtection="1">
      <alignment horizontal="right" indent="1"/>
      <protection locked="0"/>
    </xf>
    <xf numFmtId="44" fontId="12" fillId="15" borderId="25" xfId="25" applyFont="1" applyFill="1" applyBorder="1" applyAlignment="1" applyProtection="1">
      <alignment horizontal="right" indent="1"/>
      <protection locked="0"/>
    </xf>
    <xf numFmtId="8" fontId="35" fillId="3" borderId="0" xfId="23" applyNumberFormat="1" applyFont="1" applyFill="1" applyBorder="1" applyProtection="1">
      <protection locked="0"/>
    </xf>
    <xf numFmtId="8" fontId="10" fillId="3" borderId="0" xfId="23" applyNumberFormat="1" applyFont="1" applyFill="1" applyBorder="1" applyProtection="1">
      <protection locked="0"/>
    </xf>
    <xf numFmtId="164" fontId="10" fillId="9" borderId="3" xfId="23" applyFont="1" applyFill="1" applyBorder="1" applyProtection="1">
      <protection locked="0"/>
    </xf>
    <xf numFmtId="164" fontId="10" fillId="9" borderId="20" xfId="23" applyFont="1" applyFill="1" applyBorder="1" applyProtection="1">
      <protection locked="0"/>
    </xf>
    <xf numFmtId="164" fontId="10" fillId="3" borderId="32" xfId="23" applyFont="1" applyFill="1" applyBorder="1" applyProtection="1">
      <protection locked="0"/>
    </xf>
    <xf numFmtId="164" fontId="10" fillId="3" borderId="32" xfId="23" applyFont="1" applyFill="1" applyBorder="1" applyAlignment="1" applyProtection="1">
      <alignment horizontal="right" indent="1"/>
      <protection locked="0"/>
    </xf>
    <xf numFmtId="44" fontId="10" fillId="3" borderId="32" xfId="25" applyFont="1" applyFill="1" applyBorder="1" applyAlignment="1" applyProtection="1">
      <alignment horizontal="right" indent="1"/>
      <protection locked="0"/>
    </xf>
    <xf numFmtId="164" fontId="14" fillId="8" borderId="9" xfId="2" applyFont="1" applyFill="1" applyBorder="1" applyAlignment="1" applyProtection="1">
      <alignment horizontal="center"/>
      <protection locked="0"/>
    </xf>
    <xf numFmtId="44" fontId="14" fillId="8" borderId="7" xfId="25" applyFont="1" applyFill="1" applyBorder="1" applyAlignment="1" applyProtection="1">
      <alignment horizontal="center"/>
      <protection locked="0"/>
    </xf>
    <xf numFmtId="164" fontId="15" fillId="3" borderId="0" xfId="2" applyNumberFormat="1" applyFont="1" applyFill="1" applyBorder="1" applyProtection="1">
      <protection locked="0"/>
    </xf>
    <xf numFmtId="6" fontId="15" fillId="9" borderId="15" xfId="2" applyNumberFormat="1" applyFont="1" applyFill="1" applyBorder="1" applyProtection="1">
      <protection locked="0"/>
    </xf>
    <xf numFmtId="6" fontId="15" fillId="9" borderId="3" xfId="2" applyNumberFormat="1" applyFont="1" applyFill="1" applyBorder="1" applyProtection="1">
      <protection locked="0"/>
    </xf>
    <xf numFmtId="6" fontId="19" fillId="9" borderId="3" xfId="2" applyNumberFormat="1" applyFont="1" applyFill="1" applyBorder="1" applyAlignment="1" applyProtection="1">
      <alignment horizontal="right"/>
      <protection locked="0"/>
    </xf>
    <xf numFmtId="44" fontId="19" fillId="0" borderId="25" xfId="2" applyNumberFormat="1" applyFont="1" applyFill="1" applyBorder="1" applyProtection="1">
      <protection locked="0"/>
    </xf>
    <xf numFmtId="6" fontId="15" fillId="9" borderId="9" xfId="2" applyNumberFormat="1" applyFont="1" applyFill="1" applyBorder="1" applyProtection="1">
      <protection locked="0"/>
    </xf>
    <xf numFmtId="6" fontId="15" fillId="9" borderId="9" xfId="2" applyNumberFormat="1" applyFont="1" applyFill="1" applyBorder="1" applyAlignment="1" applyProtection="1">
      <alignment horizontal="right" indent="1"/>
      <protection locked="0"/>
    </xf>
    <xf numFmtId="44" fontId="15" fillId="9" borderId="12" xfId="25" applyFont="1" applyFill="1" applyBorder="1" applyAlignment="1" applyProtection="1">
      <alignment horizontal="right" indent="1"/>
      <protection locked="0"/>
    </xf>
    <xf numFmtId="3" fontId="0" fillId="3" borderId="0" xfId="0" applyNumberFormat="1" applyFont="1" applyFill="1" applyBorder="1" applyProtection="1">
      <protection locked="0"/>
    </xf>
    <xf numFmtId="44" fontId="15" fillId="15" borderId="25" xfId="25" applyFont="1" applyFill="1" applyBorder="1" applyAlignment="1" applyProtection="1">
      <alignment horizontal="right" indent="1"/>
      <protection locked="0"/>
    </xf>
    <xf numFmtId="6" fontId="19" fillId="9" borderId="3" xfId="2" applyNumberFormat="1" applyFont="1" applyFill="1" applyBorder="1" applyAlignment="1" applyProtection="1">
      <alignment horizontal="right" vertical="top"/>
      <protection locked="0"/>
    </xf>
    <xf numFmtId="6" fontId="15" fillId="0" borderId="3" xfId="2" applyNumberFormat="1" applyFont="1" applyFill="1" applyBorder="1" applyProtection="1">
      <protection locked="0"/>
    </xf>
    <xf numFmtId="6" fontId="19" fillId="0" borderId="3" xfId="2" applyNumberFormat="1" applyFont="1" applyFill="1" applyBorder="1" applyProtection="1">
      <protection locked="0"/>
    </xf>
    <xf numFmtId="8" fontId="19" fillId="0" borderId="12" xfId="2" applyNumberFormat="1" applyFont="1" applyFill="1" applyBorder="1" applyProtection="1">
      <protection locked="0"/>
    </xf>
    <xf numFmtId="164" fontId="15" fillId="0" borderId="0" xfId="2" applyNumberFormat="1" applyFont="1" applyFill="1" applyBorder="1" applyProtection="1">
      <protection locked="0"/>
    </xf>
    <xf numFmtId="0" fontId="1" fillId="0" borderId="0" xfId="0" applyFont="1" applyFill="1" applyBorder="1" applyProtection="1">
      <protection locked="0"/>
    </xf>
    <xf numFmtId="164" fontId="14" fillId="7" borderId="9" xfId="2" applyFont="1" applyFill="1" applyBorder="1" applyAlignment="1" applyProtection="1">
      <alignment horizontal="center"/>
      <protection locked="0"/>
    </xf>
    <xf numFmtId="44" fontId="14" fillId="7" borderId="7" xfId="25" applyFont="1" applyFill="1" applyBorder="1" applyAlignment="1" applyProtection="1">
      <alignment horizontal="center"/>
      <protection locked="0"/>
    </xf>
    <xf numFmtId="9" fontId="12" fillId="15" borderId="25" xfId="3" applyNumberFormat="1" applyFont="1" applyFill="1" applyBorder="1" applyAlignment="1" applyProtection="1">
      <alignment horizontal="right" indent="1"/>
      <protection locked="0"/>
    </xf>
    <xf numFmtId="44" fontId="1" fillId="9" borderId="15" xfId="25" applyFont="1" applyFill="1" applyBorder="1" applyProtection="1">
      <protection locked="0"/>
    </xf>
    <xf numFmtId="0" fontId="34" fillId="3" borderId="0" xfId="0" applyFont="1" applyFill="1" applyBorder="1" applyProtection="1">
      <protection locked="0"/>
    </xf>
    <xf numFmtId="3" fontId="12" fillId="9" borderId="3" xfId="3" applyNumberFormat="1" applyFont="1" applyFill="1" applyBorder="1" applyAlignment="1" applyProtection="1">
      <alignment horizontal="right" indent="1"/>
      <protection locked="0"/>
    </xf>
    <xf numFmtId="168" fontId="12" fillId="15" borderId="25" xfId="3" applyNumberFormat="1" applyFont="1" applyFill="1" applyBorder="1" applyAlignment="1" applyProtection="1">
      <alignment horizontal="right" indent="1"/>
      <protection locked="0"/>
    </xf>
    <xf numFmtId="44" fontId="12" fillId="15" borderId="29" xfId="25" applyFont="1" applyFill="1" applyBorder="1" applyAlignment="1" applyProtection="1">
      <alignment horizontal="right" indent="1"/>
      <protection locked="0"/>
    </xf>
    <xf numFmtId="164" fontId="10" fillId="9" borderId="15" xfId="23" applyFont="1" applyFill="1" applyBorder="1" applyProtection="1">
      <protection locked="0"/>
    </xf>
    <xf numFmtId="164" fontId="10" fillId="9" borderId="8" xfId="23" applyFont="1" applyFill="1" applyBorder="1" applyProtection="1">
      <protection locked="0"/>
    </xf>
    <xf numFmtId="6" fontId="19" fillId="9" borderId="29" xfId="2" applyNumberFormat="1" applyFont="1" applyFill="1" applyBorder="1" applyAlignment="1" applyProtection="1">
      <alignment horizontal="right" vertical="top"/>
      <protection locked="0"/>
    </xf>
    <xf numFmtId="164" fontId="1" fillId="3" borderId="0" xfId="23" applyFont="1" applyFill="1" applyProtection="1">
      <protection locked="0"/>
    </xf>
    <xf numFmtId="164" fontId="1" fillId="3" borderId="0" xfId="23" applyFont="1" applyFill="1" applyAlignment="1" applyProtection="1">
      <alignment horizontal="right" indent="1"/>
      <protection locked="0"/>
    </xf>
    <xf numFmtId="44" fontId="1" fillId="3" borderId="0" xfId="25" applyFont="1" applyFill="1" applyAlignment="1" applyProtection="1">
      <alignment horizontal="right" indent="1"/>
      <protection locked="0"/>
    </xf>
    <xf numFmtId="164" fontId="11" fillId="8" borderId="9" xfId="3" applyFont="1" applyFill="1" applyBorder="1" applyAlignment="1" applyProtection="1">
      <alignment horizontal="center" vertical="center" wrapText="1"/>
      <protection locked="0"/>
    </xf>
    <xf numFmtId="164" fontId="11" fillId="8" borderId="7" xfId="3" applyFont="1" applyFill="1" applyBorder="1" applyAlignment="1" applyProtection="1">
      <alignment horizontal="center" vertical="center" wrapText="1"/>
      <protection locked="0"/>
    </xf>
    <xf numFmtId="164" fontId="20" fillId="3" borderId="0" xfId="17" applyFont="1" applyFill="1" applyBorder="1"/>
    <xf numFmtId="164" fontId="10" fillId="9" borderId="53" xfId="0" applyNumberFormat="1" applyFont="1" applyFill="1" applyBorder="1" applyAlignment="1">
      <alignment horizontal="left" vertical="center" indent="1"/>
    </xf>
    <xf numFmtId="164" fontId="11" fillId="10" borderId="9" xfId="3" applyFont="1" applyFill="1" applyBorder="1" applyAlignment="1" applyProtection="1">
      <alignment horizontal="center" vertical="center" wrapText="1"/>
      <protection locked="0"/>
    </xf>
    <xf numFmtId="164" fontId="11" fillId="10" borderId="7" xfId="3" applyFont="1" applyFill="1" applyBorder="1" applyAlignment="1" applyProtection="1">
      <alignment horizontal="center" vertical="center" wrapText="1"/>
      <protection locked="0"/>
    </xf>
    <xf numFmtId="164" fontId="19" fillId="9" borderId="14" xfId="2" applyFont="1" applyFill="1" applyBorder="1" applyAlignment="1" applyProtection="1">
      <alignment horizontal="left" vertical="center" indent="1"/>
      <protection locked="0"/>
    </xf>
    <xf numFmtId="164" fontId="12" fillId="9" borderId="14" xfId="3" applyFont="1" applyFill="1" applyBorder="1" applyAlignment="1" applyProtection="1">
      <alignment horizontal="left" vertical="center" indent="1"/>
      <protection locked="0"/>
    </xf>
    <xf numFmtId="164" fontId="19" fillId="9" borderId="6" xfId="2" applyFont="1" applyFill="1" applyBorder="1" applyAlignment="1" applyProtection="1">
      <alignment horizontal="left" vertical="center" wrapText="1" indent="1"/>
      <protection locked="0"/>
    </xf>
    <xf numFmtId="164" fontId="15" fillId="9" borderId="14" xfId="2" applyFont="1" applyFill="1" applyBorder="1" applyAlignment="1" applyProtection="1">
      <alignment horizontal="left" vertical="center" wrapText="1" indent="2"/>
      <protection locked="0"/>
    </xf>
    <xf numFmtId="164" fontId="10" fillId="3" borderId="11" xfId="1" applyFont="1" applyFill="1" applyBorder="1" applyAlignment="1" applyProtection="1">
      <alignment horizontal="left" indent="4"/>
      <protection locked="0"/>
    </xf>
    <xf numFmtId="164" fontId="19" fillId="3" borderId="14" xfId="1" applyFont="1" applyFill="1" applyBorder="1" applyAlignment="1" applyProtection="1">
      <alignment horizontal="left" indent="2"/>
      <protection locked="0"/>
    </xf>
    <xf numFmtId="164" fontId="10" fillId="3" borderId="17" xfId="1" applyFont="1" applyFill="1" applyBorder="1" applyAlignment="1" applyProtection="1">
      <alignment horizontal="left" indent="4"/>
      <protection locked="0"/>
    </xf>
    <xf numFmtId="164" fontId="15" fillId="9" borderId="17" xfId="0" applyNumberFormat="1" applyFont="1" applyFill="1" applyBorder="1" applyAlignment="1">
      <alignment horizontal="left" vertical="center" indent="1"/>
    </xf>
    <xf numFmtId="164" fontId="15" fillId="9" borderId="13" xfId="0" applyNumberFormat="1" applyFont="1" applyFill="1" applyBorder="1" applyAlignment="1">
      <alignment horizontal="left" vertical="center" indent="1"/>
    </xf>
    <xf numFmtId="0" fontId="1" fillId="3" borderId="0" xfId="0" applyFont="1" applyFill="1" applyProtection="1">
      <protection locked="0"/>
    </xf>
    <xf numFmtId="164" fontId="1" fillId="3" borderId="0" xfId="17" applyFont="1" applyFill="1" applyProtection="1">
      <protection locked="0"/>
    </xf>
    <xf numFmtId="0" fontId="22" fillId="3" borderId="0" xfId="0" applyFont="1" applyFill="1" applyProtection="1">
      <protection locked="0"/>
    </xf>
    <xf numFmtId="0" fontId="34" fillId="3" borderId="0" xfId="0" applyFont="1" applyFill="1" applyAlignment="1" applyProtection="1">
      <alignment vertical="center"/>
      <protection locked="0"/>
    </xf>
    <xf numFmtId="0" fontId="1" fillId="0" borderId="0" xfId="0" applyFont="1" applyFill="1" applyProtection="1">
      <protection locked="0"/>
    </xf>
    <xf numFmtId="0" fontId="9" fillId="0" borderId="0" xfId="0" applyFont="1" applyFill="1" applyProtection="1">
      <protection locked="0"/>
    </xf>
    <xf numFmtId="0" fontId="0" fillId="0" borderId="0" xfId="0" applyFont="1" applyFill="1" applyProtection="1">
      <protection locked="0"/>
    </xf>
    <xf numFmtId="0" fontId="0" fillId="3" borderId="0" xfId="0" applyFont="1" applyFill="1" applyProtection="1">
      <protection locked="0"/>
    </xf>
    <xf numFmtId="0" fontId="34" fillId="3" borderId="0" xfId="0" applyFont="1" applyFill="1" applyProtection="1">
      <protection locked="0"/>
    </xf>
    <xf numFmtId="0" fontId="34" fillId="0" borderId="0" xfId="0" applyFont="1" applyFill="1" applyProtection="1">
      <protection locked="0"/>
    </xf>
    <xf numFmtId="164" fontId="15" fillId="9" borderId="14" xfId="2" applyFont="1" applyFill="1" applyBorder="1" applyAlignment="1" applyProtection="1">
      <alignment horizontal="left" vertical="center" indent="2"/>
      <protection locked="0"/>
    </xf>
    <xf numFmtId="164" fontId="21" fillId="3" borderId="16" xfId="3" applyFont="1" applyFill="1" applyBorder="1" applyAlignment="1" applyProtection="1">
      <alignment horizontal="left" vertical="center" wrapText="1" indent="2"/>
      <protection locked="0"/>
    </xf>
    <xf numFmtId="3" fontId="10" fillId="0" borderId="31" xfId="0" applyNumberFormat="1" applyFont="1" applyFill="1" applyBorder="1" applyAlignment="1" applyProtection="1">
      <alignment horizontal="right" vertical="center" indent="1"/>
    </xf>
    <xf numFmtId="164" fontId="12" fillId="9" borderId="14" xfId="3" applyFont="1" applyFill="1" applyBorder="1" applyAlignment="1" applyProtection="1">
      <alignment horizontal="left" vertical="center" indent="2"/>
      <protection locked="0"/>
    </xf>
    <xf numFmtId="164" fontId="12" fillId="9" borderId="18" xfId="3" applyFont="1" applyFill="1" applyBorder="1" applyAlignment="1" applyProtection="1">
      <alignment horizontal="left" vertical="center" indent="2"/>
      <protection locked="0"/>
    </xf>
    <xf numFmtId="0" fontId="1" fillId="3" borderId="12" xfId="0" applyFont="1" applyFill="1" applyBorder="1" applyProtection="1">
      <protection locked="0"/>
    </xf>
    <xf numFmtId="0" fontId="22" fillId="3" borderId="0" xfId="0" applyFont="1" applyFill="1" applyBorder="1" applyProtection="1">
      <protection locked="0"/>
    </xf>
    <xf numFmtId="3" fontId="22" fillId="3" borderId="0" xfId="0" applyNumberFormat="1" applyFont="1" applyFill="1" applyBorder="1" applyProtection="1">
      <protection locked="0"/>
    </xf>
    <xf numFmtId="164" fontId="1" fillId="3" borderId="12" xfId="17" applyFont="1" applyFill="1" applyBorder="1" applyProtection="1">
      <protection locked="0"/>
    </xf>
    <xf numFmtId="0" fontId="1" fillId="3" borderId="8" xfId="0" applyFont="1" applyFill="1" applyBorder="1" applyAlignment="1" applyProtection="1">
      <alignment horizontal="center"/>
      <protection locked="0"/>
    </xf>
    <xf numFmtId="0" fontId="1" fillId="3" borderId="8" xfId="0" applyFont="1" applyFill="1" applyBorder="1" applyProtection="1">
      <protection locked="0"/>
    </xf>
    <xf numFmtId="0" fontId="1" fillId="3" borderId="44" xfId="0" applyFont="1" applyFill="1" applyBorder="1" applyProtection="1">
      <protection locked="0"/>
    </xf>
    <xf numFmtId="169" fontId="1" fillId="3" borderId="0" xfId="658" applyNumberFormat="1" applyFont="1" applyFill="1" applyProtection="1">
      <protection locked="0"/>
    </xf>
    <xf numFmtId="3" fontId="10" fillId="9" borderId="25" xfId="23" applyNumberFormat="1" applyFont="1" applyFill="1" applyBorder="1" applyAlignment="1">
      <alignment horizontal="right" vertical="top" indent="1"/>
    </xf>
    <xf numFmtId="44" fontId="15" fillId="9" borderId="25" xfId="25" applyFont="1" applyFill="1" applyBorder="1" applyAlignment="1">
      <alignment horizontal="right" vertical="top" indent="1"/>
    </xf>
    <xf numFmtId="9" fontId="10" fillId="9" borderId="25" xfId="23" applyNumberFormat="1" applyFont="1" applyFill="1" applyBorder="1" applyAlignment="1">
      <alignment horizontal="right" vertical="top" indent="1"/>
    </xf>
    <xf numFmtId="3" fontId="10" fillId="9" borderId="31" xfId="0" applyNumberFormat="1" applyFont="1" applyFill="1" applyBorder="1" applyAlignment="1">
      <alignment horizontal="right" vertical="top" indent="1"/>
    </xf>
    <xf numFmtId="3" fontId="10" fillId="9" borderId="25" xfId="0" applyNumberFormat="1" applyFont="1" applyFill="1" applyBorder="1" applyAlignment="1">
      <alignment horizontal="right" vertical="top" indent="1"/>
    </xf>
    <xf numFmtId="9" fontId="15" fillId="9" borderId="25" xfId="23" applyNumberFormat="1" applyFont="1" applyFill="1" applyBorder="1" applyAlignment="1">
      <alignment horizontal="right" vertical="top" indent="1"/>
    </xf>
    <xf numFmtId="44" fontId="12" fillId="9" borderId="25" xfId="25" applyFont="1" applyFill="1" applyBorder="1" applyAlignment="1">
      <alignment horizontal="right" vertical="top" indent="1"/>
    </xf>
    <xf numFmtId="9" fontId="12" fillId="9" borderId="25" xfId="3" applyNumberFormat="1" applyFont="1" applyFill="1" applyBorder="1" applyAlignment="1">
      <alignment horizontal="right" indent="1"/>
    </xf>
    <xf numFmtId="3" fontId="12" fillId="9" borderId="25" xfId="3" applyNumberFormat="1" applyFont="1" applyFill="1" applyBorder="1" applyAlignment="1">
      <alignment horizontal="right" vertical="top" indent="1"/>
    </xf>
    <xf numFmtId="44" fontId="12" fillId="9" borderId="29" xfId="25" applyFont="1" applyFill="1" applyBorder="1" applyAlignment="1">
      <alignment horizontal="right" vertical="top" indent="1"/>
    </xf>
    <xf numFmtId="164" fontId="10" fillId="9" borderId="17" xfId="0" applyNumberFormat="1" applyFont="1" applyFill="1" applyBorder="1" applyAlignment="1">
      <alignment horizontal="left" vertical="center" wrapText="1" indent="1"/>
    </xf>
    <xf numFmtId="0" fontId="22" fillId="3" borderId="0" xfId="0" applyFont="1" applyFill="1" applyAlignment="1">
      <alignment horizontal="left" vertical="top" wrapText="1"/>
    </xf>
    <xf numFmtId="164" fontId="8" fillId="10" borderId="45" xfId="1" applyFont="1" applyFill="1" applyBorder="1" applyAlignment="1">
      <alignment horizontal="right" vertical="center"/>
    </xf>
    <xf numFmtId="164" fontId="8" fillId="10" borderId="4" xfId="1" applyFont="1" applyFill="1" applyBorder="1" applyAlignment="1">
      <alignment horizontal="right" vertical="center"/>
    </xf>
    <xf numFmtId="164" fontId="8" fillId="10" borderId="46" xfId="1" applyFont="1" applyFill="1" applyBorder="1" applyAlignment="1">
      <alignment horizontal="right" vertical="center"/>
    </xf>
    <xf numFmtId="164" fontId="17" fillId="11" borderId="11" xfId="17" applyFont="1" applyFill="1" applyBorder="1" applyAlignment="1">
      <alignment horizontal="center"/>
    </xf>
    <xf numFmtId="164" fontId="17" fillId="11" borderId="0" xfId="17" applyFont="1" applyFill="1" applyBorder="1" applyAlignment="1">
      <alignment horizontal="center"/>
    </xf>
    <xf numFmtId="164" fontId="17" fillId="11" borderId="12" xfId="17" applyFont="1" applyFill="1" applyBorder="1" applyAlignment="1">
      <alignment horizontal="center"/>
    </xf>
    <xf numFmtId="164" fontId="8" fillId="10" borderId="6" xfId="1" applyFont="1" applyFill="1" applyBorder="1" applyAlignment="1">
      <alignment horizontal="center" vertical="center" wrapText="1"/>
    </xf>
    <xf numFmtId="164" fontId="8" fillId="10" borderId="9" xfId="1" applyFont="1" applyFill="1" applyBorder="1" applyAlignment="1">
      <alignment horizontal="center" vertical="center" wrapText="1"/>
    </xf>
    <xf numFmtId="164" fontId="31" fillId="3" borderId="0" xfId="17" applyFont="1" applyFill="1" applyBorder="1" applyAlignment="1">
      <alignment horizontal="center" vertical="top"/>
    </xf>
    <xf numFmtId="164" fontId="38" fillId="3" borderId="0" xfId="17" applyFont="1" applyFill="1" applyAlignment="1">
      <alignment horizontal="center" vertical="top" wrapText="1"/>
    </xf>
  </cellXfs>
  <cellStyles count="673">
    <cellStyle name="20% - Accent3 2" xfId="4"/>
    <cellStyle name="Calculation 2" xfId="5"/>
    <cellStyle name="Comma" xfId="658" builtinId="3"/>
    <cellStyle name="Comma 2" xfId="6"/>
    <cellStyle name="Comma 3" xfId="7"/>
    <cellStyle name="Currency" xfId="25" builtinId="4"/>
    <cellStyle name="Currency 2" xfId="8"/>
    <cellStyle name="Currency 3" xfId="9"/>
    <cellStyle name="Currency 4" xfId="10"/>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13" builtinId="9" hidden="1"/>
    <cellStyle name="Followed Hyperlink" xfId="215" builtinId="9" hidden="1"/>
    <cellStyle name="Followed Hyperlink" xfId="217" builtinId="9" hidden="1"/>
    <cellStyle name="Followed Hyperlink" xfId="219" builtinId="9" hidden="1"/>
    <cellStyle name="Followed Hyperlink" xfId="221" builtinId="9" hidden="1"/>
    <cellStyle name="Followed Hyperlink" xfId="223" builtinId="9" hidden="1"/>
    <cellStyle name="Followed Hyperlink" xfId="225" builtinId="9" hidden="1"/>
    <cellStyle name="Followed Hyperlink" xfId="227" builtinId="9" hidden="1"/>
    <cellStyle name="Followed Hyperlink" xfId="229" builtinId="9" hidden="1"/>
    <cellStyle name="Followed Hyperlink" xfId="231" builtinId="9" hidden="1"/>
    <cellStyle name="Followed Hyperlink" xfId="233" builtinId="9" hidden="1"/>
    <cellStyle name="Followed Hyperlink" xfId="235" builtinId="9" hidden="1"/>
    <cellStyle name="Followed Hyperlink" xfId="237" builtinId="9" hidden="1"/>
    <cellStyle name="Followed Hyperlink" xfId="239" builtinId="9" hidden="1"/>
    <cellStyle name="Followed Hyperlink" xfId="241" builtinId="9" hidden="1"/>
    <cellStyle name="Followed Hyperlink" xfId="243" builtinId="9" hidden="1"/>
    <cellStyle name="Followed Hyperlink" xfId="245" builtinId="9" hidden="1"/>
    <cellStyle name="Followed Hyperlink" xfId="247" builtinId="9" hidden="1"/>
    <cellStyle name="Followed Hyperlink" xfId="249" builtinId="9" hidden="1"/>
    <cellStyle name="Followed Hyperlink" xfId="251" builtinId="9" hidden="1"/>
    <cellStyle name="Followed Hyperlink" xfId="253" builtinId="9" hidden="1"/>
    <cellStyle name="Followed Hyperlink" xfId="255" builtinId="9" hidden="1"/>
    <cellStyle name="Followed Hyperlink" xfId="257" builtinId="9" hidden="1"/>
    <cellStyle name="Followed Hyperlink" xfId="259" builtinId="9" hidden="1"/>
    <cellStyle name="Followed Hyperlink" xfId="261" builtinId="9" hidden="1"/>
    <cellStyle name="Followed Hyperlink" xfId="263"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3" builtinId="9" hidden="1"/>
    <cellStyle name="Followed Hyperlink" xfId="435" builtinId="9" hidden="1"/>
    <cellStyle name="Followed Hyperlink" xfId="437" builtinId="9" hidden="1"/>
    <cellStyle name="Followed Hyperlink" xfId="439" builtinId="9" hidden="1"/>
    <cellStyle name="Followed Hyperlink" xfId="441" builtinId="9" hidden="1"/>
    <cellStyle name="Followed Hyperlink" xfId="443" builtinId="9" hidden="1"/>
    <cellStyle name="Followed Hyperlink" xfId="445" builtinId="9" hidden="1"/>
    <cellStyle name="Followed Hyperlink" xfId="447" builtinId="9" hidden="1"/>
    <cellStyle name="Followed Hyperlink" xfId="449" builtinId="9" hidden="1"/>
    <cellStyle name="Followed Hyperlink" xfId="451" builtinId="9" hidden="1"/>
    <cellStyle name="Followed Hyperlink" xfId="453" builtinId="9" hidden="1"/>
    <cellStyle name="Followed Hyperlink" xfId="455" builtinId="9" hidden="1"/>
    <cellStyle name="Followed Hyperlink" xfId="457" builtinId="9" hidden="1"/>
    <cellStyle name="Followed Hyperlink" xfId="459" builtinId="9" hidden="1"/>
    <cellStyle name="Followed Hyperlink" xfId="461" builtinId="9" hidden="1"/>
    <cellStyle name="Followed Hyperlink" xfId="463" builtinId="9" hidden="1"/>
    <cellStyle name="Followed Hyperlink" xfId="465" builtinId="9" hidden="1"/>
    <cellStyle name="Followed Hyperlink" xfId="467" builtinId="9" hidden="1"/>
    <cellStyle name="Followed Hyperlink" xfId="469" builtinId="9" hidden="1"/>
    <cellStyle name="Followed Hyperlink" xfId="471" builtinId="9" hidden="1"/>
    <cellStyle name="Followed Hyperlink" xfId="473" builtinId="9" hidden="1"/>
    <cellStyle name="Followed Hyperlink" xfId="475" builtinId="9" hidden="1"/>
    <cellStyle name="Followed Hyperlink" xfId="477" builtinId="9" hidden="1"/>
    <cellStyle name="Followed Hyperlink" xfId="479" builtinId="9" hidden="1"/>
    <cellStyle name="Followed Hyperlink" xfId="481" builtinId="9" hidden="1"/>
    <cellStyle name="Followed Hyperlink" xfId="483" builtinId="9" hidden="1"/>
    <cellStyle name="Followed Hyperlink" xfId="485" builtinId="9" hidden="1"/>
    <cellStyle name="Followed Hyperlink" xfId="487" builtinId="9" hidden="1"/>
    <cellStyle name="Followed Hyperlink" xfId="489" builtinId="9" hidden="1"/>
    <cellStyle name="Followed Hyperlink" xfId="491" builtinId="9" hidden="1"/>
    <cellStyle name="Followed Hyperlink" xfId="493" builtinId="9" hidden="1"/>
    <cellStyle name="Followed Hyperlink" xfId="495" builtinId="9" hidden="1"/>
    <cellStyle name="Followed Hyperlink" xfId="497" builtinId="9" hidden="1"/>
    <cellStyle name="Followed Hyperlink" xfId="499" builtinId="9" hidden="1"/>
    <cellStyle name="Followed Hyperlink" xfId="501" builtinId="9" hidden="1"/>
    <cellStyle name="Followed Hyperlink" xfId="503" builtinId="9" hidden="1"/>
    <cellStyle name="Followed Hyperlink" xfId="505" builtinId="9" hidden="1"/>
    <cellStyle name="Followed Hyperlink" xfId="507" builtinId="9" hidden="1"/>
    <cellStyle name="Followed Hyperlink" xfId="509" builtinId="9" hidden="1"/>
    <cellStyle name="Followed Hyperlink" xfId="511" builtinId="9" hidden="1"/>
    <cellStyle name="Followed Hyperlink" xfId="513" builtinId="9" hidden="1"/>
    <cellStyle name="Followed Hyperlink" xfId="515" builtinId="9" hidden="1"/>
    <cellStyle name="Followed Hyperlink" xfId="517" builtinId="9" hidden="1"/>
    <cellStyle name="Followed Hyperlink" xfId="519" builtinId="9" hidden="1"/>
    <cellStyle name="Followed Hyperlink" xfId="521" builtinId="9" hidden="1"/>
    <cellStyle name="Followed Hyperlink" xfId="523" builtinId="9" hidden="1"/>
    <cellStyle name="Followed Hyperlink" xfId="525" builtinId="9" hidden="1"/>
    <cellStyle name="Followed Hyperlink" xfId="527" builtinId="9" hidden="1"/>
    <cellStyle name="Followed Hyperlink" xfId="529" builtinId="9" hidden="1"/>
    <cellStyle name="Followed Hyperlink" xfId="531" builtinId="9" hidden="1"/>
    <cellStyle name="Followed Hyperlink" xfId="533" builtinId="9" hidden="1"/>
    <cellStyle name="Followed Hyperlink" xfId="535" builtinId="9" hidden="1"/>
    <cellStyle name="Followed Hyperlink" xfId="537" builtinId="9" hidden="1"/>
    <cellStyle name="Followed Hyperlink" xfId="539" builtinId="9" hidden="1"/>
    <cellStyle name="Followed Hyperlink" xfId="541" builtinId="9" hidden="1"/>
    <cellStyle name="Followed Hyperlink" xfId="543" builtinId="9" hidden="1"/>
    <cellStyle name="Followed Hyperlink" xfId="545" builtinId="9" hidden="1"/>
    <cellStyle name="Followed Hyperlink" xfId="547" builtinId="9" hidden="1"/>
    <cellStyle name="Followed Hyperlink" xfId="549" builtinId="9" hidden="1"/>
    <cellStyle name="Followed Hyperlink" xfId="551" builtinId="9" hidden="1"/>
    <cellStyle name="Followed Hyperlink" xfId="553" builtinId="9" hidden="1"/>
    <cellStyle name="Followed Hyperlink" xfId="555" builtinId="9" hidden="1"/>
    <cellStyle name="Followed Hyperlink" xfId="557" builtinId="9" hidden="1"/>
    <cellStyle name="Followed Hyperlink" xfId="559" builtinId="9" hidden="1"/>
    <cellStyle name="Followed Hyperlink" xfId="561" builtinId="9" hidden="1"/>
    <cellStyle name="Followed Hyperlink" xfId="563" builtinId="9" hidden="1"/>
    <cellStyle name="Followed Hyperlink" xfId="565" builtinId="9" hidden="1"/>
    <cellStyle name="Followed Hyperlink" xfId="567" builtinId="9" hidden="1"/>
    <cellStyle name="Followed Hyperlink" xfId="569" builtinId="9" hidden="1"/>
    <cellStyle name="Followed Hyperlink" xfId="571" builtinId="9" hidden="1"/>
    <cellStyle name="Followed Hyperlink" xfId="573" builtinId="9" hidden="1"/>
    <cellStyle name="Followed Hyperlink" xfId="575" builtinId="9" hidden="1"/>
    <cellStyle name="Followed Hyperlink" xfId="577" builtinId="9" hidden="1"/>
    <cellStyle name="Followed Hyperlink" xfId="579" builtinId="9" hidden="1"/>
    <cellStyle name="Followed Hyperlink" xfId="581" builtinId="9" hidden="1"/>
    <cellStyle name="Followed Hyperlink" xfId="583" builtinId="9" hidden="1"/>
    <cellStyle name="Followed Hyperlink" xfId="585" builtinId="9" hidden="1"/>
    <cellStyle name="Followed Hyperlink" xfId="587" builtinId="9" hidden="1"/>
    <cellStyle name="Followed Hyperlink" xfId="589" builtinId="9" hidden="1"/>
    <cellStyle name="Followed Hyperlink" xfId="591" builtinId="9" hidden="1"/>
    <cellStyle name="Followed Hyperlink" xfId="593" builtinId="9" hidden="1"/>
    <cellStyle name="Followed Hyperlink" xfId="595" builtinId="9" hidden="1"/>
    <cellStyle name="Followed Hyperlink" xfId="597" builtinId="9" hidden="1"/>
    <cellStyle name="Followed Hyperlink" xfId="599" builtinId="9" hidden="1"/>
    <cellStyle name="Followed Hyperlink" xfId="601"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6" builtinId="8" hidden="1"/>
    <cellStyle name="Hyperlink" xfId="208" builtinId="8" hidden="1"/>
    <cellStyle name="Hyperlink" xfId="210" builtinId="8" hidden="1"/>
    <cellStyle name="Hyperlink" xfId="212" builtinId="8" hidden="1"/>
    <cellStyle name="Hyperlink" xfId="214" builtinId="8" hidden="1"/>
    <cellStyle name="Hyperlink" xfId="216" builtinId="8" hidden="1"/>
    <cellStyle name="Hyperlink" xfId="218" builtinId="8" hidden="1"/>
    <cellStyle name="Hyperlink" xfId="220" builtinId="8" hidden="1"/>
    <cellStyle name="Hyperlink" xfId="222" builtinId="8" hidden="1"/>
    <cellStyle name="Hyperlink" xfId="224" builtinId="8" hidden="1"/>
    <cellStyle name="Hyperlink" xfId="226" builtinId="8" hidden="1"/>
    <cellStyle name="Hyperlink" xfId="228" builtinId="8" hidden="1"/>
    <cellStyle name="Hyperlink" xfId="230" builtinId="8" hidden="1"/>
    <cellStyle name="Hyperlink" xfId="232" builtinId="8" hidden="1"/>
    <cellStyle name="Hyperlink" xfId="234" builtinId="8" hidden="1"/>
    <cellStyle name="Hyperlink" xfId="236" builtinId="8" hidden="1"/>
    <cellStyle name="Hyperlink" xfId="238" builtinId="8" hidden="1"/>
    <cellStyle name="Hyperlink" xfId="240" builtinId="8" hidden="1"/>
    <cellStyle name="Hyperlink" xfId="242" builtinId="8" hidden="1"/>
    <cellStyle name="Hyperlink" xfId="244" builtinId="8" hidden="1"/>
    <cellStyle name="Hyperlink" xfId="246" builtinId="8" hidden="1"/>
    <cellStyle name="Hyperlink" xfId="248" builtinId="8" hidden="1"/>
    <cellStyle name="Hyperlink" xfId="250" builtinId="8" hidden="1"/>
    <cellStyle name="Hyperlink" xfId="252" builtinId="8" hidden="1"/>
    <cellStyle name="Hyperlink" xfId="254" builtinId="8" hidden="1"/>
    <cellStyle name="Hyperlink" xfId="256" builtinId="8" hidden="1"/>
    <cellStyle name="Hyperlink" xfId="258" builtinId="8" hidden="1"/>
    <cellStyle name="Hyperlink" xfId="260" builtinId="8" hidden="1"/>
    <cellStyle name="Hyperlink" xfId="262"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2" builtinId="8" hidden="1"/>
    <cellStyle name="Hyperlink" xfId="434" builtinId="8" hidden="1"/>
    <cellStyle name="Hyperlink" xfId="436" builtinId="8" hidden="1"/>
    <cellStyle name="Hyperlink" xfId="438" builtinId="8" hidden="1"/>
    <cellStyle name="Hyperlink" xfId="440" builtinId="8" hidden="1"/>
    <cellStyle name="Hyperlink" xfId="442" builtinId="8" hidden="1"/>
    <cellStyle name="Hyperlink" xfId="444" builtinId="8" hidden="1"/>
    <cellStyle name="Hyperlink" xfId="446" builtinId="8" hidden="1"/>
    <cellStyle name="Hyperlink" xfId="448" builtinId="8" hidden="1"/>
    <cellStyle name="Hyperlink" xfId="450" builtinId="8" hidden="1"/>
    <cellStyle name="Hyperlink" xfId="452" builtinId="8" hidden="1"/>
    <cellStyle name="Hyperlink" xfId="454" builtinId="8" hidden="1"/>
    <cellStyle name="Hyperlink" xfId="456" builtinId="8" hidden="1"/>
    <cellStyle name="Hyperlink" xfId="458" builtinId="8" hidden="1"/>
    <cellStyle name="Hyperlink" xfId="460" builtinId="8" hidden="1"/>
    <cellStyle name="Hyperlink" xfId="462" builtinId="8" hidden="1"/>
    <cellStyle name="Hyperlink" xfId="464" builtinId="8" hidden="1"/>
    <cellStyle name="Hyperlink" xfId="466" builtinId="8" hidden="1"/>
    <cellStyle name="Hyperlink" xfId="468" builtinId="8" hidden="1"/>
    <cellStyle name="Hyperlink" xfId="470" builtinId="8" hidden="1"/>
    <cellStyle name="Hyperlink" xfId="472" builtinId="8" hidden="1"/>
    <cellStyle name="Hyperlink" xfId="474" builtinId="8" hidden="1"/>
    <cellStyle name="Hyperlink" xfId="476" builtinId="8" hidden="1"/>
    <cellStyle name="Hyperlink" xfId="478" builtinId="8" hidden="1"/>
    <cellStyle name="Hyperlink" xfId="480" builtinId="8" hidden="1"/>
    <cellStyle name="Hyperlink" xfId="482" builtinId="8" hidden="1"/>
    <cellStyle name="Hyperlink" xfId="484" builtinId="8" hidden="1"/>
    <cellStyle name="Hyperlink" xfId="486" builtinId="8" hidden="1"/>
    <cellStyle name="Hyperlink" xfId="488" builtinId="8" hidden="1"/>
    <cellStyle name="Hyperlink" xfId="490" builtinId="8" hidden="1"/>
    <cellStyle name="Hyperlink" xfId="492" builtinId="8" hidden="1"/>
    <cellStyle name="Hyperlink" xfId="494" builtinId="8" hidden="1"/>
    <cellStyle name="Hyperlink" xfId="496" builtinId="8" hidden="1"/>
    <cellStyle name="Hyperlink" xfId="498" builtinId="8" hidden="1"/>
    <cellStyle name="Hyperlink" xfId="500" builtinId="8" hidden="1"/>
    <cellStyle name="Hyperlink" xfId="502" builtinId="8" hidden="1"/>
    <cellStyle name="Hyperlink" xfId="504" builtinId="8" hidden="1"/>
    <cellStyle name="Hyperlink" xfId="506" builtinId="8" hidden="1"/>
    <cellStyle name="Hyperlink" xfId="508" builtinId="8" hidden="1"/>
    <cellStyle name="Hyperlink" xfId="510" builtinId="8" hidden="1"/>
    <cellStyle name="Hyperlink" xfId="512" builtinId="8" hidden="1"/>
    <cellStyle name="Hyperlink" xfId="514" builtinId="8" hidden="1"/>
    <cellStyle name="Hyperlink" xfId="516" builtinId="8" hidden="1"/>
    <cellStyle name="Hyperlink" xfId="518" builtinId="8" hidden="1"/>
    <cellStyle name="Hyperlink" xfId="520" builtinId="8" hidden="1"/>
    <cellStyle name="Hyperlink" xfId="522" builtinId="8" hidden="1"/>
    <cellStyle name="Hyperlink" xfId="524" builtinId="8" hidden="1"/>
    <cellStyle name="Hyperlink" xfId="526" builtinId="8" hidden="1"/>
    <cellStyle name="Hyperlink" xfId="528" builtinId="8" hidden="1"/>
    <cellStyle name="Hyperlink" xfId="530" builtinId="8" hidden="1"/>
    <cellStyle name="Hyperlink" xfId="532" builtinId="8" hidden="1"/>
    <cellStyle name="Hyperlink" xfId="534" builtinId="8" hidden="1"/>
    <cellStyle name="Hyperlink" xfId="536" builtinId="8" hidden="1"/>
    <cellStyle name="Hyperlink" xfId="538" builtinId="8" hidden="1"/>
    <cellStyle name="Hyperlink" xfId="540" builtinId="8" hidden="1"/>
    <cellStyle name="Hyperlink" xfId="542" builtinId="8" hidden="1"/>
    <cellStyle name="Hyperlink" xfId="544" builtinId="8" hidden="1"/>
    <cellStyle name="Hyperlink" xfId="546" builtinId="8" hidden="1"/>
    <cellStyle name="Hyperlink" xfId="548" builtinId="8" hidden="1"/>
    <cellStyle name="Hyperlink" xfId="550" builtinId="8" hidden="1"/>
    <cellStyle name="Hyperlink" xfId="552" builtinId="8" hidden="1"/>
    <cellStyle name="Hyperlink" xfId="554" builtinId="8" hidden="1"/>
    <cellStyle name="Hyperlink" xfId="556" builtinId="8" hidden="1"/>
    <cellStyle name="Hyperlink" xfId="558" builtinId="8" hidden="1"/>
    <cellStyle name="Hyperlink" xfId="560" builtinId="8" hidden="1"/>
    <cellStyle name="Hyperlink" xfId="562" builtinId="8" hidden="1"/>
    <cellStyle name="Hyperlink" xfId="564" builtinId="8" hidden="1"/>
    <cellStyle name="Hyperlink" xfId="566" builtinId="8" hidden="1"/>
    <cellStyle name="Hyperlink" xfId="568" builtinId="8" hidden="1"/>
    <cellStyle name="Hyperlink" xfId="570" builtinId="8" hidden="1"/>
    <cellStyle name="Hyperlink" xfId="572" builtinId="8" hidden="1"/>
    <cellStyle name="Hyperlink" xfId="574" builtinId="8" hidden="1"/>
    <cellStyle name="Hyperlink" xfId="576" builtinId="8" hidden="1"/>
    <cellStyle name="Hyperlink" xfId="578" builtinId="8" hidden="1"/>
    <cellStyle name="Hyperlink" xfId="580" builtinId="8" hidden="1"/>
    <cellStyle name="Hyperlink" xfId="582" builtinId="8" hidden="1"/>
    <cellStyle name="Hyperlink" xfId="584" builtinId="8" hidden="1"/>
    <cellStyle name="Hyperlink" xfId="586" builtinId="8" hidden="1"/>
    <cellStyle name="Hyperlink" xfId="588" builtinId="8" hidden="1"/>
    <cellStyle name="Hyperlink" xfId="590" builtinId="8" hidden="1"/>
    <cellStyle name="Hyperlink" xfId="592" builtinId="8" hidden="1"/>
    <cellStyle name="Hyperlink" xfId="594" builtinId="8" hidden="1"/>
    <cellStyle name="Hyperlink" xfId="596" builtinId="8" hidden="1"/>
    <cellStyle name="Hyperlink" xfId="598" builtinId="8" hidden="1"/>
    <cellStyle name="Hyperlink" xfId="600"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Normal" xfId="0" builtinId="0"/>
    <cellStyle name="Normal 2" xfId="11"/>
    <cellStyle name="Normal 2 2" xfId="12"/>
    <cellStyle name="Normal 2 2 2" xfId="13"/>
    <cellStyle name="Normal 2 3" xfId="14"/>
    <cellStyle name="Normal 2 4" xfId="15"/>
    <cellStyle name="Normal 3" xfId="16"/>
    <cellStyle name="Normal 3 2" xfId="17"/>
    <cellStyle name="Normal 3 3" xfId="1"/>
    <cellStyle name="Normal 3 3 2" xfId="23"/>
    <cellStyle name="Normal 4" xfId="18"/>
    <cellStyle name="Normal 5" xfId="3"/>
    <cellStyle name="Normal 6" xfId="21"/>
    <cellStyle name="Normal 6 2" xfId="24"/>
    <cellStyle name="Normal 7" xfId="22"/>
    <cellStyle name="Normal_19-12-2007 PBF-model v88 Base" xfId="2"/>
    <cellStyle name="Output 2" xfId="19"/>
    <cellStyle name="Percent 2" xfId="2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9D9D9"/>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FFE1E2"/>
      <rgbColor rgb="00FDF1DF"/>
      <rgbColor rgb="00FFCCFF"/>
      <rgbColor rgb="0000CCFF"/>
      <rgbColor rgb="00CCFFFF"/>
      <rgbColor rgb="00CCFFCC"/>
      <rgbColor rgb="00FFFF99"/>
      <rgbColor rgb="0099CCFF"/>
      <rgbColor rgb="00EAEAEA"/>
      <rgbColor rgb="00CC99FF"/>
      <rgbColor rgb="00FDF6E7"/>
      <rgbColor rgb="003366FF"/>
      <rgbColor rgb="0033CCCC"/>
      <rgbColor rgb="0099CC00"/>
      <rgbColor rgb="00FFCC00"/>
      <rgbColor rgb="00FF9900"/>
      <rgbColor rgb="00FF6600"/>
      <rgbColor rgb="00666699"/>
      <rgbColor rgb="00C0C0C0"/>
      <rgbColor rgb="00003366"/>
      <rgbColor rgb="00339966"/>
      <rgbColor rgb="00003300"/>
      <rgbColor rgb="00333300"/>
      <rgbColor rgb="00A14817"/>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 Type="http://schemas.openxmlformats.org/officeDocument/2006/relationships/theme" Target="theme/theme1.xml"/><Relationship Id="rId12" Type="http://schemas.openxmlformats.org/officeDocument/2006/relationships/styles" Target="styles.xml"/><Relationship Id="rId13" Type="http://schemas.openxmlformats.org/officeDocument/2006/relationships/sharedStrings" Target="sharedStrings.xml"/><Relationship Id="rId14"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externalLink" Target="externalLinks/externalLink1.xml"/><Relationship Id="rId8" Type="http://schemas.openxmlformats.org/officeDocument/2006/relationships/externalLink" Target="externalLinks/externalLink2.xml"/><Relationship Id="rId9" Type="http://schemas.openxmlformats.org/officeDocument/2006/relationships/externalLink" Target="externalLinks/externalLink3.xml"/><Relationship Id="rId10" Type="http://schemas.openxmlformats.org/officeDocument/2006/relationships/externalLink" Target="externalLinks/externalLink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sz="1600"/>
            </a:pPr>
            <a:r>
              <a:rPr lang="en-US" sz="1600" baseline="0"/>
              <a:t>Projected Total Costs per Year </a:t>
            </a:r>
            <a:endParaRPr lang="en-US" sz="1600"/>
          </a:p>
        </c:rich>
      </c:tx>
      <c:layout>
        <c:manualLayout>
          <c:xMode val="edge"/>
          <c:yMode val="edge"/>
          <c:x val="0.277572468318334"/>
          <c:y val="0.0258732158609699"/>
        </c:manualLayout>
      </c:layout>
      <c:overlay val="1"/>
    </c:title>
    <c:autoTitleDeleted val="0"/>
    <c:plotArea>
      <c:layout>
        <c:manualLayout>
          <c:layoutTarget val="inner"/>
          <c:xMode val="edge"/>
          <c:yMode val="edge"/>
          <c:x val="0.156711702800468"/>
          <c:y val="0.152575714576881"/>
          <c:w val="0.525373897710185"/>
          <c:h val="0.731874414874706"/>
        </c:manualLayout>
      </c:layout>
      <c:barChart>
        <c:barDir val="col"/>
        <c:grouping val="stacked"/>
        <c:varyColors val="0"/>
        <c:ser>
          <c:idx val="0"/>
          <c:order val="0"/>
          <c:tx>
            <c:strRef>
              <c:f>TCO_OUTPUT!$B$9</c:f>
              <c:strCache>
                <c:ptCount val="1"/>
                <c:pt idx="0">
                  <c:v>FLW - Data plans and add. salaries</c:v>
                </c:pt>
              </c:strCache>
            </c:strRef>
          </c:tx>
          <c:invertIfNegative val="0"/>
          <c:cat>
            <c:strRef>
              <c:f>TCO_OUTPUT!$D$7:$H$7</c:f>
              <c:strCache>
                <c:ptCount val="5"/>
                <c:pt idx="0">
                  <c:v>Year 1</c:v>
                </c:pt>
                <c:pt idx="1">
                  <c:v>Year 2</c:v>
                </c:pt>
                <c:pt idx="2">
                  <c:v>Year 3</c:v>
                </c:pt>
                <c:pt idx="3">
                  <c:v>Year 4</c:v>
                </c:pt>
                <c:pt idx="4">
                  <c:v>Year 5</c:v>
                </c:pt>
              </c:strCache>
            </c:strRef>
          </c:cat>
          <c:val>
            <c:numRef>
              <c:f>TCO_OUTPUT!$D$9:$H$9</c:f>
              <c:numCache>
                <c:formatCode>_("$"* #,##0_);_("$"* \(#,##0\);_("$"* "-"_);_(@_)</c:formatCode>
                <c:ptCount val="5"/>
                <c:pt idx="0">
                  <c:v>1200.0</c:v>
                </c:pt>
                <c:pt idx="1">
                  <c:v>2616.0</c:v>
                </c:pt>
                <c:pt idx="2">
                  <c:v>7128.6</c:v>
                </c:pt>
                <c:pt idx="3">
                  <c:v>15540.348</c:v>
                </c:pt>
                <c:pt idx="4">
                  <c:v>42347.4483</c:v>
                </c:pt>
              </c:numCache>
            </c:numRef>
          </c:val>
        </c:ser>
        <c:ser>
          <c:idx val="1"/>
          <c:order val="1"/>
          <c:tx>
            <c:strRef>
              <c:f>TCO_OUTPUT!$B$10</c:f>
              <c:strCache>
                <c:ptCount val="1"/>
                <c:pt idx="0">
                  <c:v>Staff &amp; Management - Data plan and salaries</c:v>
                </c:pt>
              </c:strCache>
            </c:strRef>
          </c:tx>
          <c:invertIfNegative val="0"/>
          <c:cat>
            <c:strRef>
              <c:f>TCO_OUTPUT!$D$7:$H$7</c:f>
              <c:strCache>
                <c:ptCount val="5"/>
                <c:pt idx="0">
                  <c:v>Year 1</c:v>
                </c:pt>
                <c:pt idx="1">
                  <c:v>Year 2</c:v>
                </c:pt>
                <c:pt idx="2">
                  <c:v>Year 3</c:v>
                </c:pt>
                <c:pt idx="3">
                  <c:v>Year 4</c:v>
                </c:pt>
                <c:pt idx="4">
                  <c:v>Year 5</c:v>
                </c:pt>
              </c:strCache>
            </c:strRef>
          </c:cat>
          <c:val>
            <c:numRef>
              <c:f>TCO_OUTPUT!$D$10:$H$10</c:f>
              <c:numCache>
                <c:formatCode>_("$"* #,##0_);_("$"* \(#,##0\);_("$"* "-"??_);_(@_)</c:formatCode>
                <c:ptCount val="5"/>
                <c:pt idx="0">
                  <c:v>2419.2</c:v>
                </c:pt>
                <c:pt idx="1">
                  <c:v>5273.856</c:v>
                </c:pt>
                <c:pt idx="2">
                  <c:v>14371.2576</c:v>
                </c:pt>
                <c:pt idx="3">
                  <c:v>31329.341568</c:v>
                </c:pt>
                <c:pt idx="4">
                  <c:v>85372.45577280002</c:v>
                </c:pt>
              </c:numCache>
            </c:numRef>
          </c:val>
        </c:ser>
        <c:ser>
          <c:idx val="3"/>
          <c:order val="2"/>
          <c:tx>
            <c:strRef>
              <c:f>TCO_OUTPUT!$B$11</c:f>
              <c:strCache>
                <c:ptCount val="1"/>
                <c:pt idx="0">
                  <c:v>Trainings</c:v>
                </c:pt>
              </c:strCache>
            </c:strRef>
          </c:tx>
          <c:spPr>
            <a:solidFill>
              <a:schemeClr val="accent6">
                <a:lumMod val="60000"/>
                <a:lumOff val="40000"/>
              </a:schemeClr>
            </a:solidFill>
          </c:spPr>
          <c:invertIfNegative val="0"/>
          <c:val>
            <c:numRef>
              <c:f>TCO_OUTPUT!$D$11:$H$11</c:f>
              <c:numCache>
                <c:formatCode>_("$"* #,##0_);_("$"* \(#,##0\);_("$"* "-"_);_(@_)</c:formatCode>
                <c:ptCount val="5"/>
                <c:pt idx="0">
                  <c:v>2439.0</c:v>
                </c:pt>
                <c:pt idx="1">
                  <c:v>3716.812800000001</c:v>
                </c:pt>
                <c:pt idx="2">
                  <c:v>11000.427804</c:v>
                </c:pt>
                <c:pt idx="3">
                  <c:v>22079.7264384</c:v>
                </c:pt>
                <c:pt idx="4">
                  <c:v>65348.04136966201</c:v>
                </c:pt>
              </c:numCache>
            </c:numRef>
          </c:val>
        </c:ser>
        <c:ser>
          <c:idx val="5"/>
          <c:order val="3"/>
          <c:tx>
            <c:strRef>
              <c:f>TCO_OUTPUT!$B$20</c:f>
              <c:strCache>
                <c:ptCount val="1"/>
                <c:pt idx="0">
                  <c:v>Office expenses</c:v>
                </c:pt>
              </c:strCache>
            </c:strRef>
          </c:tx>
          <c:spPr>
            <a:solidFill>
              <a:srgbClr val="8064A2"/>
            </a:solidFill>
          </c:spPr>
          <c:invertIfNegative val="0"/>
          <c:cat>
            <c:strRef>
              <c:f>TCO_OUTPUT!$D$7:$H$7</c:f>
              <c:strCache>
                <c:ptCount val="5"/>
                <c:pt idx="0">
                  <c:v>Year 1</c:v>
                </c:pt>
                <c:pt idx="1">
                  <c:v>Year 2</c:v>
                </c:pt>
                <c:pt idx="2">
                  <c:v>Year 3</c:v>
                </c:pt>
                <c:pt idx="3">
                  <c:v>Year 4</c:v>
                </c:pt>
                <c:pt idx="4">
                  <c:v>Year 5</c:v>
                </c:pt>
              </c:strCache>
            </c:strRef>
          </c:cat>
          <c:val>
            <c:numRef>
              <c:f>TCO_OUTPUT!$D$20:$H$20</c:f>
              <c:numCache>
                <c:formatCode>_("$"* #,##0_);_("$"* \(#,##0\);_("$"* "-"_);_(@_)</c:formatCode>
                <c:ptCount val="5"/>
                <c:pt idx="0">
                  <c:v>300.0</c:v>
                </c:pt>
                <c:pt idx="1">
                  <c:v>327.0</c:v>
                </c:pt>
                <c:pt idx="2">
                  <c:v>356.4300000000001</c:v>
                </c:pt>
                <c:pt idx="3">
                  <c:v>388.5087000000001</c:v>
                </c:pt>
                <c:pt idx="4">
                  <c:v>423.4744830000001</c:v>
                </c:pt>
              </c:numCache>
            </c:numRef>
          </c:val>
        </c:ser>
        <c:ser>
          <c:idx val="6"/>
          <c:order val="4"/>
          <c:tx>
            <c:strRef>
              <c:f>TCO_OUTPUT!$B$32</c:f>
              <c:strCache>
                <c:ptCount val="1"/>
                <c:pt idx="0">
                  <c:v>Total Capital / Equipment</c:v>
                </c:pt>
              </c:strCache>
            </c:strRef>
          </c:tx>
          <c:spPr>
            <a:solidFill>
              <a:srgbClr val="00B0F0"/>
            </a:solidFill>
          </c:spPr>
          <c:invertIfNegative val="0"/>
          <c:val>
            <c:numRef>
              <c:f>TCO_OUTPUT!$D$32:$H$32</c:f>
              <c:numCache>
                <c:formatCode>_("$"* #,##0_);_("$"* \(#,##0\);_("$"* "-"??_);_(@_)</c:formatCode>
                <c:ptCount val="5"/>
                <c:pt idx="0">
                  <c:v>29698.0</c:v>
                </c:pt>
                <c:pt idx="1">
                  <c:v>35506.423</c:v>
                </c:pt>
                <c:pt idx="2">
                  <c:v>112417.66557</c:v>
                </c:pt>
                <c:pt idx="3">
                  <c:v>210526.0008763</c:v>
                </c:pt>
                <c:pt idx="4">
                  <c:v>667515.3461703671</c:v>
                </c:pt>
              </c:numCache>
            </c:numRef>
          </c:val>
        </c:ser>
        <c:ser>
          <c:idx val="7"/>
          <c:order val="5"/>
          <c:tx>
            <c:strRef>
              <c:f>TCO_OUTPUT!$B$21</c:f>
              <c:strCache>
                <c:ptCount val="1"/>
                <c:pt idx="0">
                  <c:v>Dimagi - CommCare hosting fees</c:v>
                </c:pt>
              </c:strCache>
            </c:strRef>
          </c:tx>
          <c:spPr>
            <a:solidFill>
              <a:srgbClr val="F79646"/>
            </a:solidFill>
          </c:spPr>
          <c:invertIfNegative val="0"/>
          <c:val>
            <c:numRef>
              <c:f>TCO_OUTPUT!$D$21:$H$21</c:f>
              <c:numCache>
                <c:formatCode>_("$"* #,##0_);_("$"* \(#,##0\);_("$"* "-"_);_(@_)</c:formatCode>
                <c:ptCount val="5"/>
                <c:pt idx="0">
                  <c:v>4224.0</c:v>
                </c:pt>
                <c:pt idx="1">
                  <c:v>6000.0</c:v>
                </c:pt>
                <c:pt idx="2">
                  <c:v>12072.0</c:v>
                </c:pt>
                <c:pt idx="3">
                  <c:v>24144.0</c:v>
                </c:pt>
                <c:pt idx="4">
                  <c:v>27000.0</c:v>
                </c:pt>
              </c:numCache>
            </c:numRef>
          </c:val>
        </c:ser>
        <c:dLbls>
          <c:showLegendKey val="0"/>
          <c:showVal val="0"/>
          <c:showCatName val="0"/>
          <c:showSerName val="0"/>
          <c:showPercent val="0"/>
          <c:showBubbleSize val="0"/>
        </c:dLbls>
        <c:gapWidth val="150"/>
        <c:overlap val="100"/>
        <c:axId val="-2147313848"/>
        <c:axId val="-2144690568"/>
      </c:barChart>
      <c:catAx>
        <c:axId val="-2147313848"/>
        <c:scaling>
          <c:orientation val="minMax"/>
        </c:scaling>
        <c:delete val="0"/>
        <c:axPos val="b"/>
        <c:numFmt formatCode="General" sourceLinked="1"/>
        <c:majorTickMark val="out"/>
        <c:minorTickMark val="none"/>
        <c:tickLblPos val="nextTo"/>
        <c:txPr>
          <a:bodyPr/>
          <a:lstStyle/>
          <a:p>
            <a:pPr>
              <a:defRPr lang="en-US" sz="1200"/>
            </a:pPr>
            <a:endParaRPr lang="en-US"/>
          </a:p>
        </c:txPr>
        <c:crossAx val="-2144690568"/>
        <c:crosses val="autoZero"/>
        <c:auto val="1"/>
        <c:lblAlgn val="ctr"/>
        <c:lblOffset val="100"/>
        <c:noMultiLvlLbl val="0"/>
      </c:catAx>
      <c:valAx>
        <c:axId val="-2144690568"/>
        <c:scaling>
          <c:orientation val="minMax"/>
        </c:scaling>
        <c:delete val="0"/>
        <c:axPos val="l"/>
        <c:majorGridlines/>
        <c:numFmt formatCode="_(&quot;$&quot;* #,##0_);_(&quot;$&quot;* \(#,##0\);_(&quot;$&quot;* &quot;-&quot;_);_(@_)" sourceLinked="1"/>
        <c:majorTickMark val="out"/>
        <c:minorTickMark val="none"/>
        <c:tickLblPos val="nextTo"/>
        <c:txPr>
          <a:bodyPr/>
          <a:lstStyle/>
          <a:p>
            <a:pPr>
              <a:defRPr lang="en-US" sz="1200"/>
            </a:pPr>
            <a:endParaRPr lang="en-US"/>
          </a:p>
        </c:txPr>
        <c:crossAx val="-2147313848"/>
        <c:crosses val="autoZero"/>
        <c:crossBetween val="between"/>
      </c:valAx>
    </c:plotArea>
    <c:legend>
      <c:legendPos val="r"/>
      <c:layout>
        <c:manualLayout>
          <c:xMode val="edge"/>
          <c:yMode val="edge"/>
          <c:x val="0.761299346540989"/>
          <c:y val="0.00932175688586051"/>
          <c:w val="0.227825415942881"/>
          <c:h val="0.965574218767075"/>
        </c:manualLayout>
      </c:layout>
      <c:overlay val="0"/>
      <c:txPr>
        <a:bodyPr/>
        <a:lstStyle/>
        <a:p>
          <a:pPr>
            <a:defRPr lang="en-US" sz="1400"/>
          </a:pPr>
          <a:endParaRPr lang="en-US"/>
        </a:p>
      </c:txPr>
    </c:legend>
    <c:plotVisOnly val="1"/>
    <c:dispBlanksAs val="gap"/>
    <c:showDLblsOverMax val="0"/>
  </c:chart>
  <c:printSettings>
    <c:headerFooter/>
    <c:pageMargins b="0.750000000000007" l="0.700000000000002" r="0.700000000000002" t="0.750000000000007"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600" b="1" i="0"/>
            </a:pPr>
            <a:r>
              <a:rPr lang="en-US" sz="1600" b="1" i="0" baseline="0"/>
              <a:t>Breakdown of Average Cost per FLW (across 5 years)</a:t>
            </a:r>
            <a:endParaRPr lang="en-US" sz="1600" b="1" i="0"/>
          </a:p>
        </c:rich>
      </c:tx>
      <c:layout>
        <c:manualLayout>
          <c:xMode val="edge"/>
          <c:yMode val="edge"/>
          <c:x val="0.202738004523628"/>
          <c:y val="0.0415037256249009"/>
        </c:manualLayout>
      </c:layout>
      <c:overlay val="0"/>
    </c:title>
    <c:autoTitleDeleted val="0"/>
    <c:plotArea>
      <c:layout>
        <c:manualLayout>
          <c:layoutTarget val="inner"/>
          <c:xMode val="edge"/>
          <c:yMode val="edge"/>
          <c:x val="0.341346071812231"/>
          <c:y val="0.387341808177592"/>
          <c:w val="0.246496779136408"/>
          <c:h val="0.483094108718338"/>
        </c:manualLayout>
      </c:layout>
      <c:pieChart>
        <c:varyColors val="1"/>
        <c:ser>
          <c:idx val="0"/>
          <c:order val="0"/>
          <c:tx>
            <c:strRef>
              <c:f>TCO_OUTPUT!$B$40</c:f>
              <c:strCache>
                <c:ptCount val="1"/>
                <c:pt idx="0">
                  <c:v>Average Yearly Costs for Modelled Org (per FLW)</c:v>
                </c:pt>
              </c:strCache>
            </c:strRef>
          </c:tx>
          <c:dPt>
            <c:idx val="2"/>
            <c:bubble3D val="0"/>
            <c:spPr>
              <a:solidFill>
                <a:schemeClr val="accent6">
                  <a:lumMod val="60000"/>
                  <a:lumOff val="40000"/>
                </a:schemeClr>
              </a:solidFill>
            </c:spPr>
          </c:dPt>
          <c:dPt>
            <c:idx val="3"/>
            <c:bubble3D val="0"/>
            <c:spPr>
              <a:solidFill>
                <a:schemeClr val="accent5"/>
              </a:solidFill>
            </c:spPr>
          </c:dPt>
          <c:dPt>
            <c:idx val="4"/>
            <c:bubble3D val="0"/>
            <c:spPr>
              <a:solidFill>
                <a:schemeClr val="accent4"/>
              </a:solidFill>
            </c:spPr>
          </c:dPt>
          <c:dPt>
            <c:idx val="5"/>
            <c:bubble3D val="0"/>
            <c:spPr>
              <a:solidFill>
                <a:schemeClr val="accent6"/>
              </a:solidFill>
            </c:spPr>
          </c:dPt>
          <c:dPt>
            <c:idx val="6"/>
            <c:bubble3D val="0"/>
            <c:spPr>
              <a:solidFill>
                <a:schemeClr val="accent2"/>
              </a:solidFill>
            </c:spPr>
          </c:dPt>
          <c:dPt>
            <c:idx val="7"/>
            <c:bubble3D val="0"/>
            <c:spPr>
              <a:solidFill>
                <a:srgbClr val="00B050"/>
              </a:solidFill>
            </c:spPr>
          </c:dPt>
          <c:dLbls>
            <c:dLbl>
              <c:idx val="0"/>
              <c:layout>
                <c:manualLayout>
                  <c:x val="0.118481076962154"/>
                  <c:y val="-0.0403487819056175"/>
                </c:manualLayout>
              </c:layout>
              <c:showLegendKey val="0"/>
              <c:showVal val="0"/>
              <c:showCatName val="1"/>
              <c:showSerName val="0"/>
              <c:showPercent val="1"/>
              <c:showBubbleSize val="0"/>
              <c:extLst>
                <c:ext xmlns:c15="http://schemas.microsoft.com/office/drawing/2012/chart" uri="{CE6537A1-D6FC-4f65-9D91-7224C49458BB}">
                  <c15:layout/>
                </c:ext>
              </c:extLst>
            </c:dLbl>
            <c:dLbl>
              <c:idx val="1"/>
              <c:layout>
                <c:manualLayout>
                  <c:x val="0.157605863783156"/>
                  <c:y val="0.0854555303070337"/>
                </c:manualLayout>
              </c:layout>
              <c:showLegendKey val="0"/>
              <c:showVal val="0"/>
              <c:showCatName val="1"/>
              <c:showSerName val="0"/>
              <c:showPercent val="1"/>
              <c:showBubbleSize val="0"/>
              <c:extLst>
                <c:ext xmlns:c15="http://schemas.microsoft.com/office/drawing/2012/chart" uri="{CE6537A1-D6FC-4f65-9D91-7224C49458BB}">
                  <c15:layout/>
                </c:ext>
              </c:extLst>
            </c:dLbl>
            <c:dLbl>
              <c:idx val="2"/>
              <c:layout>
                <c:manualLayout>
                  <c:x val="0.0508355407187005"/>
                  <c:y val="0.108615441526185"/>
                </c:manualLayout>
              </c:layout>
              <c:showLegendKey val="0"/>
              <c:showVal val="0"/>
              <c:showCatName val="1"/>
              <c:showSerName val="0"/>
              <c:showPercent val="1"/>
              <c:showBubbleSize val="0"/>
              <c:extLst>
                <c:ext xmlns:c15="http://schemas.microsoft.com/office/drawing/2012/chart" uri="{CE6537A1-D6FC-4f65-9D91-7224C49458BB}">
                  <c15:layout/>
                </c:ext>
              </c:extLst>
            </c:dLbl>
            <c:dLbl>
              <c:idx val="3"/>
              <c:layout>
                <c:manualLayout>
                  <c:x val="-0.0499355322520168"/>
                  <c:y val="-0.0978695238598531"/>
                </c:manualLayout>
              </c:layout>
              <c:showLegendKey val="0"/>
              <c:showVal val="0"/>
              <c:showCatName val="1"/>
              <c:showSerName val="0"/>
              <c:showPercent val="1"/>
              <c:showBubbleSize val="0"/>
              <c:extLst>
                <c:ext xmlns:c15="http://schemas.microsoft.com/office/drawing/2012/chart" uri="{CE6537A1-D6FC-4f65-9D91-7224C49458BB}">
                  <c15:layout/>
                </c:ext>
              </c:extLst>
            </c:dLbl>
            <c:dLbl>
              <c:idx val="4"/>
              <c:layout>
                <c:manualLayout>
                  <c:x val="-0.0885924743278058"/>
                  <c:y val="-0.00770173862495376"/>
                </c:manualLayout>
              </c:layout>
              <c:showLegendKey val="0"/>
              <c:showVal val="0"/>
              <c:showCatName val="1"/>
              <c:showSerName val="0"/>
              <c:showPercent val="1"/>
              <c:showBubbleSize val="0"/>
              <c:extLst>
                <c:ext xmlns:c15="http://schemas.microsoft.com/office/drawing/2012/chart" uri="{CE6537A1-D6FC-4f65-9D91-7224C49458BB}">
                  <c15:layout/>
                </c:ext>
              </c:extLst>
            </c:dLbl>
            <c:dLbl>
              <c:idx val="5"/>
              <c:layout>
                <c:manualLayout>
                  <c:x val="0.0572703412073491"/>
                  <c:y val="-0.069288432066797"/>
                </c:manualLayout>
              </c:layout>
              <c:showLegendKey val="0"/>
              <c:showVal val="0"/>
              <c:showCatName val="1"/>
              <c:showSerName val="0"/>
              <c:showPercent val="1"/>
              <c:showBubbleSize val="0"/>
              <c:extLst>
                <c:ext xmlns:c15="http://schemas.microsoft.com/office/drawing/2012/chart" uri="{CE6537A1-D6FC-4f65-9D91-7224C49458BB}">
                  <c15:layout/>
                </c:ext>
              </c:extLst>
            </c:dLbl>
            <c:dLbl>
              <c:idx val="6"/>
              <c:layout>
                <c:manualLayout>
                  <c:x val="0.285531121501423"/>
                  <c:y val="0.0957136219807944"/>
                </c:manualLayout>
              </c:layout>
              <c:showLegendKey val="0"/>
              <c:showVal val="0"/>
              <c:showCatName val="1"/>
              <c:showSerName val="0"/>
              <c:showPercent val="1"/>
              <c:showBubbleSize val="0"/>
              <c:extLst>
                <c:ext xmlns:c15="http://schemas.microsoft.com/office/drawing/2012/chart" uri="{CE6537A1-D6FC-4f65-9D91-7224C49458BB}">
                  <c15:layout/>
                </c:ext>
              </c:extLst>
            </c:dLbl>
            <c:dLbl>
              <c:idx val="7"/>
              <c:layout>
                <c:manualLayout>
                  <c:x val="0.210449658220283"/>
                  <c:y val="-0.052023579205434"/>
                </c:manualLayout>
              </c:layout>
              <c:showLegendKey val="0"/>
              <c:showVal val="0"/>
              <c:showCatName val="1"/>
              <c:showSerName val="0"/>
              <c:showPercent val="1"/>
              <c:showBubbleSize val="0"/>
              <c:extLst>
                <c:ext xmlns:c15="http://schemas.microsoft.com/office/drawing/2012/chart" uri="{CE6537A1-D6FC-4f65-9D91-7224C49458BB}"/>
              </c:extLst>
            </c:dLbl>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extLst>
          </c:dLbls>
          <c:cat>
            <c:strRef>
              <c:f>TCO_OUTPUT!$B$41:$B$46</c:f>
              <c:strCache>
                <c:ptCount val="6"/>
                <c:pt idx="0">
                  <c:v>FLW - Data plans and add. salaries</c:v>
                </c:pt>
                <c:pt idx="1">
                  <c:v>Staff &amp; Management - Data plan and salaries</c:v>
                </c:pt>
                <c:pt idx="2">
                  <c:v>Trainings</c:v>
                </c:pt>
                <c:pt idx="3">
                  <c:v>Total Capital / Equipment</c:v>
                </c:pt>
                <c:pt idx="4">
                  <c:v>Office expenses</c:v>
                </c:pt>
                <c:pt idx="5">
                  <c:v>Dimagi - CommCare hosting fees</c:v>
                </c:pt>
              </c:strCache>
            </c:strRef>
          </c:cat>
          <c:val>
            <c:numRef>
              <c:f>TCO_OUTPUT!$I$41:$I$46</c:f>
              <c:numCache>
                <c:formatCode>_("$"* #,##0_);_("$"* \(#,##0\);_("$"* "-"??_);_(@_)</c:formatCode>
                <c:ptCount val="6"/>
                <c:pt idx="0">
                  <c:v>14.363305464</c:v>
                </c:pt>
                <c:pt idx="1">
                  <c:v>28.95642381542401</c:v>
                </c:pt>
                <c:pt idx="2">
                  <c:v>22.63877251885296</c:v>
                </c:pt>
                <c:pt idx="3">
                  <c:v>235.3759170968894</c:v>
                </c:pt>
                <c:pt idx="4">
                  <c:v>1.18115169864</c:v>
                </c:pt>
                <c:pt idx="5">
                  <c:v>26.26560000000001</c:v>
                </c:pt>
              </c:numCache>
            </c:numRef>
          </c:val>
        </c:ser>
        <c:dLbls>
          <c:showLegendKey val="0"/>
          <c:showVal val="0"/>
          <c:showCatName val="0"/>
          <c:showSerName val="0"/>
          <c:showPercent val="1"/>
          <c:showBubbleSize val="0"/>
          <c:showLeaderLines val="1"/>
        </c:dLbls>
        <c:firstSliceAng val="0"/>
      </c:pieChart>
    </c:plotArea>
    <c:plotVisOnly val="1"/>
    <c:dispBlanksAs val="zero"/>
    <c:showDLblsOverMax val="0"/>
  </c:chart>
  <c:txPr>
    <a:bodyPr/>
    <a:lstStyle/>
    <a:p>
      <a:pPr>
        <a:defRPr sz="1400"/>
      </a:pPr>
      <a:endParaRPr lang="en-US"/>
    </a:p>
  </c:txPr>
  <c:printSettings>
    <c:headerFooter/>
    <c:pageMargins b="0.750000000000006" l="0.700000000000002" r="0.700000000000002" t="0.750000000000006" header="0.3" footer="0.3"/>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gif"/></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gif"/></Relationships>
</file>

<file path=xl/drawings/_rels/drawing3.xml.rels><?xml version="1.0" encoding="UTF-8" standalone="yes"?>
<Relationships xmlns="http://schemas.openxmlformats.org/package/2006/relationships"><Relationship Id="rId3" Type="http://schemas.openxmlformats.org/officeDocument/2006/relationships/chart" Target="../charts/chart1.xml"/><Relationship Id="rId4" Type="http://schemas.openxmlformats.org/officeDocument/2006/relationships/chart" Target="../charts/chart2.xml"/><Relationship Id="rId1" Type="http://schemas.openxmlformats.org/officeDocument/2006/relationships/image" Target="../media/image2.gif"/><Relationship Id="rId2"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xdr:from>
      <xdr:col>1</xdr:col>
      <xdr:colOff>4296</xdr:colOff>
      <xdr:row>6</xdr:row>
      <xdr:rowOff>31749</xdr:rowOff>
    </xdr:from>
    <xdr:to>
      <xdr:col>14</xdr:col>
      <xdr:colOff>25400</xdr:colOff>
      <xdr:row>34</xdr:row>
      <xdr:rowOff>127001</xdr:rowOff>
    </xdr:to>
    <xdr:sp macro="" textlink="">
      <xdr:nvSpPr>
        <xdr:cNvPr id="2" name="TextBox 1"/>
        <xdr:cNvSpPr txBox="1"/>
      </xdr:nvSpPr>
      <xdr:spPr>
        <a:xfrm>
          <a:off x="67796" y="1162049"/>
          <a:ext cx="12035304" cy="50736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400" b="1">
              <a:solidFill>
                <a:schemeClr val="dk1"/>
              </a:solidFill>
              <a:latin typeface="+mn-lt"/>
              <a:ea typeface="+mn-ea"/>
              <a:cs typeface="+mn-cs"/>
            </a:rPr>
            <a:t>Objective: </a:t>
          </a:r>
          <a:r>
            <a:rPr lang="en-US" sz="1400">
              <a:solidFill>
                <a:schemeClr val="dk1"/>
              </a:solidFill>
              <a:latin typeface="+mn-lt"/>
              <a:ea typeface="+mn-ea"/>
              <a:cs typeface="+mn-cs"/>
            </a:rPr>
            <a:t>This </a:t>
          </a:r>
          <a:r>
            <a:rPr lang="en-US" sz="1400" b="1" i="1">
              <a:solidFill>
                <a:schemeClr val="dk1"/>
              </a:solidFill>
              <a:latin typeface="+mn-lt"/>
              <a:ea typeface="+mn-ea"/>
              <a:cs typeface="+mn-cs"/>
            </a:rPr>
            <a:t>Total</a:t>
          </a:r>
          <a:r>
            <a:rPr lang="en-US" sz="1400" b="1" i="1" baseline="0">
              <a:solidFill>
                <a:schemeClr val="dk1"/>
              </a:solidFill>
              <a:latin typeface="+mn-lt"/>
              <a:ea typeface="+mn-ea"/>
              <a:cs typeface="+mn-cs"/>
            </a:rPr>
            <a:t> Cost of Ownership (TCO) tool </a:t>
          </a:r>
          <a:r>
            <a:rPr lang="en-US" sz="1400" baseline="0">
              <a:solidFill>
                <a:schemeClr val="dk1"/>
              </a:solidFill>
              <a:latin typeface="+mn-lt"/>
              <a:ea typeface="+mn-ea"/>
              <a:cs typeface="+mn-cs"/>
            </a:rPr>
            <a:t>was created by </a:t>
          </a:r>
          <a:r>
            <a:rPr lang="en-US" sz="1400">
              <a:solidFill>
                <a:schemeClr val="dk1"/>
              </a:solidFill>
              <a:latin typeface="+mn-lt"/>
              <a:ea typeface="+mn-ea"/>
              <a:cs typeface="+mn-cs"/>
            </a:rPr>
            <a:t>Dimagi to help organizations estimate the total cost of adopting CommCare or other mobile technologies for their programs</a:t>
          </a:r>
          <a:r>
            <a:rPr lang="en-US" sz="1400" baseline="0">
              <a:solidFill>
                <a:schemeClr val="dk1"/>
              </a:solidFill>
              <a:latin typeface="+mn-lt"/>
              <a:ea typeface="+mn-ea"/>
              <a:cs typeface="+mn-cs"/>
            </a:rPr>
            <a:t> F</a:t>
          </a:r>
          <a:r>
            <a:rPr lang="en-US" sz="1400">
              <a:solidFill>
                <a:schemeClr val="dk1"/>
              </a:solidFill>
              <a:latin typeface="+mn-lt"/>
              <a:ea typeface="+mn-ea"/>
              <a:cs typeface="+mn-cs"/>
            </a:rPr>
            <a:t>rontline</a:t>
          </a:r>
          <a:r>
            <a:rPr lang="en-US" sz="1400" baseline="0">
              <a:solidFill>
                <a:schemeClr val="dk1"/>
              </a:solidFill>
              <a:latin typeface="+mn-lt"/>
              <a:ea typeface="+mn-ea"/>
              <a:cs typeface="+mn-cs"/>
            </a:rPr>
            <a:t> Workers (FLW), for the next five years</a:t>
          </a:r>
          <a:r>
            <a:rPr lang="en-US" sz="1400">
              <a:solidFill>
                <a:schemeClr val="dk1"/>
              </a:solidFill>
              <a:latin typeface="+mn-lt"/>
              <a:ea typeface="+mn-ea"/>
              <a:cs typeface="+mn-cs"/>
            </a:rPr>
            <a:t>. </a:t>
          </a:r>
        </a:p>
        <a:p>
          <a:endParaRPr lang="en-US" sz="1100">
            <a:solidFill>
              <a:schemeClr val="dk1"/>
            </a:solidFill>
            <a:latin typeface="+mn-lt"/>
            <a:ea typeface="+mn-ea"/>
            <a:cs typeface="+mn-cs"/>
          </a:endParaRPr>
        </a:p>
        <a:p>
          <a:r>
            <a:rPr lang="en-US" sz="1200" b="1">
              <a:solidFill>
                <a:schemeClr val="dk1"/>
              </a:solidFill>
              <a:latin typeface="+mn-lt"/>
              <a:ea typeface="+mn-ea"/>
              <a:cs typeface="+mn-cs"/>
            </a:rPr>
            <a:t>Overview and File Structure (tabs)</a:t>
          </a:r>
          <a:endParaRPr lang="en-US" sz="1200">
            <a:solidFill>
              <a:schemeClr val="dk1"/>
            </a:solidFill>
            <a:latin typeface="+mn-lt"/>
            <a:ea typeface="+mn-ea"/>
            <a:cs typeface="+mn-cs"/>
          </a:endParaRPr>
        </a:p>
        <a:p>
          <a:r>
            <a:rPr lang="en-US" sz="1200">
              <a:solidFill>
                <a:schemeClr val="dk1"/>
              </a:solidFill>
              <a:latin typeface="+mn-lt"/>
              <a:ea typeface="+mn-ea"/>
              <a:cs typeface="+mn-cs"/>
            </a:rPr>
            <a:t>	● Instructions</a:t>
          </a:r>
        </a:p>
        <a:p>
          <a:r>
            <a:rPr lang="en-US" sz="1200">
              <a:solidFill>
                <a:schemeClr val="dk1"/>
              </a:solidFill>
              <a:latin typeface="+mn-lt"/>
              <a:ea typeface="+mn-ea"/>
              <a:cs typeface="+mn-cs"/>
            </a:rPr>
            <a:t>	● TCO_INPUTS: i</a:t>
          </a:r>
          <a:r>
            <a:rPr lang="en-US" sz="1200" baseline="0">
              <a:solidFill>
                <a:schemeClr val="dk1"/>
              </a:solidFill>
              <a:latin typeface="+mn-lt"/>
              <a:ea typeface="+mn-ea"/>
              <a:cs typeface="+mn-cs"/>
            </a:rPr>
            <a:t>nputs for the cost model --&gt; </a:t>
          </a:r>
          <a:r>
            <a:rPr lang="en-US" sz="1200" i="1" baseline="0">
              <a:solidFill>
                <a:schemeClr val="dk1"/>
              </a:solidFill>
              <a:latin typeface="+mn-lt"/>
              <a:ea typeface="+mn-ea"/>
              <a:cs typeface="+mn-cs"/>
            </a:rPr>
            <a:t>Fill in your estimates for all the inputs in orange shaded cells on the TCO_INPUTS tab</a:t>
          </a:r>
        </a:p>
        <a:p>
          <a:r>
            <a:rPr lang="en-US" sz="1200">
              <a:solidFill>
                <a:schemeClr val="dk1"/>
              </a:solidFill>
              <a:latin typeface="+mn-lt"/>
              <a:ea typeface="+mn-ea"/>
              <a:cs typeface="+mn-cs"/>
            </a:rPr>
            <a:t>	● TCO_ OUTPUTS: Automatically calculated project costs, based on inputs --&gt; </a:t>
          </a:r>
          <a:r>
            <a:rPr lang="en-US" sz="1200" i="1">
              <a:solidFill>
                <a:schemeClr val="dk1"/>
              </a:solidFill>
              <a:latin typeface="+mn-lt"/>
              <a:ea typeface="+mn-ea"/>
              <a:cs typeface="+mn-cs"/>
            </a:rPr>
            <a:t>No inputs required on</a:t>
          </a:r>
          <a:r>
            <a:rPr lang="en-US" sz="1200" i="1" baseline="0">
              <a:solidFill>
                <a:schemeClr val="dk1"/>
              </a:solidFill>
              <a:latin typeface="+mn-lt"/>
              <a:ea typeface="+mn-ea"/>
              <a:cs typeface="+mn-cs"/>
            </a:rPr>
            <a:t> this tab</a:t>
          </a:r>
          <a:endParaRPr lang="en-US" sz="1200" i="1">
            <a:solidFill>
              <a:schemeClr val="dk1"/>
            </a:solidFill>
            <a:latin typeface="+mn-lt"/>
            <a:ea typeface="+mn-ea"/>
            <a:cs typeface="+mn-cs"/>
          </a:endParaRPr>
        </a:p>
        <a:p>
          <a:r>
            <a:rPr lang="en-US" sz="1200">
              <a:solidFill>
                <a:schemeClr val="dk1"/>
              </a:solidFill>
              <a:latin typeface="+mn-lt"/>
              <a:ea typeface="+mn-ea"/>
              <a:cs typeface="+mn-cs"/>
            </a:rPr>
            <a:t>	● Dimagi Assumption Explanations: D</a:t>
          </a:r>
          <a:r>
            <a:rPr lang="en-US" sz="1200" b="0">
              <a:solidFill>
                <a:schemeClr val="dk1"/>
              </a:solidFill>
              <a:latin typeface="+mn-lt"/>
              <a:ea typeface="+mn-ea"/>
              <a:cs typeface="+mn-cs"/>
            </a:rPr>
            <a:t>escriptions</a:t>
          </a:r>
          <a:r>
            <a:rPr lang="en-US" sz="1200" b="0" baseline="0">
              <a:solidFill>
                <a:schemeClr val="dk1"/>
              </a:solidFill>
              <a:latin typeface="+mn-lt"/>
              <a:ea typeface="+mn-ea"/>
              <a:cs typeface="+mn-cs"/>
            </a:rPr>
            <a:t> and </a:t>
          </a:r>
          <a:r>
            <a:rPr lang="en-US" sz="1200" b="0">
              <a:solidFill>
                <a:schemeClr val="dk1"/>
              </a:solidFill>
              <a:latin typeface="+mn-lt"/>
              <a:ea typeface="+mn-ea"/>
              <a:cs typeface="+mn-cs"/>
            </a:rPr>
            <a:t>explanations for each</a:t>
          </a:r>
          <a:r>
            <a:rPr lang="en-US" sz="1200" b="0" baseline="0">
              <a:solidFill>
                <a:schemeClr val="dk1"/>
              </a:solidFill>
              <a:latin typeface="+mn-lt"/>
              <a:ea typeface="+mn-ea"/>
              <a:cs typeface="+mn-cs"/>
            </a:rPr>
            <a:t> cost item</a:t>
          </a:r>
          <a:endParaRPr lang="en-US" sz="1200">
            <a:solidFill>
              <a:schemeClr val="dk1"/>
            </a:solidFill>
            <a:latin typeface="+mn-lt"/>
            <a:ea typeface="+mn-ea"/>
            <a:cs typeface="+mn-cs"/>
          </a:endParaRPr>
        </a:p>
        <a:p>
          <a:r>
            <a:rPr lang="en-US" sz="1200">
              <a:solidFill>
                <a:schemeClr val="dk1"/>
              </a:solidFill>
              <a:latin typeface="+mn-lt"/>
              <a:ea typeface="+mn-ea"/>
              <a:cs typeface="+mn-cs"/>
            </a:rPr>
            <a:t>		</a:t>
          </a:r>
        </a:p>
        <a:p>
          <a:r>
            <a:rPr lang="en-US" sz="1200" b="1">
              <a:solidFill>
                <a:schemeClr val="dk1"/>
              </a:solidFill>
              <a:latin typeface="+mn-lt"/>
              <a:ea typeface="+mn-ea"/>
              <a:cs typeface="+mn-cs"/>
            </a:rPr>
            <a:t>Our Approach</a:t>
          </a:r>
          <a:endParaRPr lang="en-US" sz="1200">
            <a:solidFill>
              <a:schemeClr val="dk1"/>
            </a:solidFill>
            <a:latin typeface="+mn-lt"/>
            <a:ea typeface="+mn-ea"/>
            <a:cs typeface="+mn-cs"/>
          </a:endParaRPr>
        </a:p>
        <a:p>
          <a:pPr lvl="0"/>
          <a:r>
            <a:rPr lang="en-US" sz="1200">
              <a:solidFill>
                <a:schemeClr val="dk1"/>
              </a:solidFill>
              <a:latin typeface="+mn-lt"/>
              <a:ea typeface="+mn-ea"/>
              <a:cs typeface="+mn-cs"/>
            </a:rPr>
            <a:t>	●  We are estimating costs for the next five years</a:t>
          </a:r>
          <a:r>
            <a:rPr lang="en-US" sz="1200" baseline="0">
              <a:solidFill>
                <a:schemeClr val="dk1"/>
              </a:solidFill>
              <a:latin typeface="+mn-lt"/>
              <a:ea typeface="+mn-ea"/>
              <a:cs typeface="+mn-cs"/>
            </a:rPr>
            <a:t> based on the </a:t>
          </a:r>
          <a:r>
            <a:rPr lang="en-US" sz="1200">
              <a:solidFill>
                <a:schemeClr val="dk1"/>
              </a:solidFill>
              <a:latin typeface="+mn-lt"/>
              <a:ea typeface="+mn-ea"/>
              <a:cs typeface="+mn-cs"/>
            </a:rPr>
            <a:t>projected number of CommCare users for the next five years. </a:t>
          </a:r>
        </a:p>
        <a:p>
          <a:pPr lvl="0"/>
          <a:r>
            <a:rPr lang="en-US" sz="1200">
              <a:solidFill>
                <a:schemeClr val="dk1"/>
              </a:solidFill>
              <a:latin typeface="+mn-lt"/>
              <a:ea typeface="+mn-ea"/>
              <a:cs typeface="+mn-cs"/>
            </a:rPr>
            <a:t>	●  In addition to direct costs associated with training FLWs and equipping them with phones, we expect additional costs associated with:</a:t>
          </a:r>
        </a:p>
        <a:p>
          <a:pPr lvl="1"/>
          <a:r>
            <a:rPr lang="en-US" sz="1200">
              <a:solidFill>
                <a:schemeClr val="dk1"/>
              </a:solidFill>
              <a:latin typeface="+mn-lt"/>
              <a:ea typeface="+mn-ea"/>
              <a:cs typeface="+mn-cs"/>
            </a:rPr>
            <a:t>		- Additional </a:t>
          </a:r>
          <a:r>
            <a:rPr lang="en-US" sz="1200" b="1">
              <a:solidFill>
                <a:schemeClr val="dk1"/>
              </a:solidFill>
              <a:latin typeface="+mn-lt"/>
              <a:ea typeface="+mn-ea"/>
              <a:cs typeface="+mn-cs"/>
            </a:rPr>
            <a:t>Field Staff </a:t>
          </a:r>
          <a:r>
            <a:rPr lang="en-US" sz="1200" b="0">
              <a:solidFill>
                <a:schemeClr val="dk1"/>
              </a:solidFill>
              <a:latin typeface="+mn-lt"/>
              <a:ea typeface="+mn-ea"/>
              <a:cs typeface="+mn-cs"/>
            </a:rPr>
            <a:t>(with</a:t>
          </a:r>
          <a:r>
            <a:rPr lang="en-US" sz="1200" b="0" baseline="0">
              <a:solidFill>
                <a:schemeClr val="dk1"/>
              </a:solidFill>
              <a:latin typeface="+mn-lt"/>
              <a:ea typeface="+mn-ea"/>
              <a:cs typeface="+mn-cs"/>
            </a:rPr>
            <a:t> possibiilty to add another type of staff) </a:t>
          </a:r>
          <a:r>
            <a:rPr lang="en-US" sz="1200">
              <a:solidFill>
                <a:schemeClr val="dk1"/>
              </a:solidFill>
              <a:latin typeface="+mn-lt"/>
              <a:ea typeface="+mn-ea"/>
              <a:cs typeface="+mn-cs"/>
            </a:rPr>
            <a:t>that need to be hired to support the use of CommCare</a:t>
          </a:r>
        </a:p>
        <a:p>
          <a:pPr lvl="1"/>
          <a:r>
            <a:rPr lang="en-US" sz="1200">
              <a:solidFill>
                <a:schemeClr val="dk1"/>
              </a:solidFill>
              <a:latin typeface="+mn-lt"/>
              <a:ea typeface="+mn-ea"/>
              <a:cs typeface="+mn-cs"/>
            </a:rPr>
            <a:t>		- Additional </a:t>
          </a:r>
          <a:r>
            <a:rPr lang="en-US" sz="1200" b="1">
              <a:solidFill>
                <a:schemeClr val="dk1"/>
              </a:solidFill>
              <a:latin typeface="+mn-lt"/>
              <a:ea typeface="+mn-ea"/>
              <a:cs typeface="+mn-cs"/>
            </a:rPr>
            <a:t>Project Managers </a:t>
          </a:r>
          <a:r>
            <a:rPr lang="en-US" sz="1200">
              <a:solidFill>
                <a:schemeClr val="dk1"/>
              </a:solidFill>
              <a:latin typeface="+mn-lt"/>
              <a:ea typeface="+mn-ea"/>
              <a:cs typeface="+mn-cs"/>
            </a:rPr>
            <a:t>that need to be hired to manage the program and to utilize the data obtained by CommCare</a:t>
          </a:r>
        </a:p>
        <a:p>
          <a:pPr lvl="1"/>
          <a:r>
            <a:rPr lang="en-US" sz="1200">
              <a:solidFill>
                <a:schemeClr val="dk1"/>
              </a:solidFill>
              <a:latin typeface="+mn-lt"/>
              <a:ea typeface="+mn-ea"/>
              <a:cs typeface="+mn-cs"/>
            </a:rPr>
            <a:t>		- Additional costs for </a:t>
          </a:r>
          <a:r>
            <a:rPr lang="en-US" sz="1200" b="1">
              <a:solidFill>
                <a:schemeClr val="dk1"/>
              </a:solidFill>
              <a:latin typeface="+mn-lt"/>
              <a:ea typeface="+mn-ea"/>
              <a:cs typeface="+mn-cs"/>
            </a:rPr>
            <a:t>Offices</a:t>
          </a:r>
          <a:r>
            <a:rPr lang="en-US" sz="1200" b="1" baseline="0">
              <a:solidFill>
                <a:schemeClr val="dk1"/>
              </a:solidFill>
              <a:latin typeface="+mn-lt"/>
              <a:ea typeface="+mn-ea"/>
              <a:cs typeface="+mn-cs"/>
            </a:rPr>
            <a:t> </a:t>
          </a:r>
          <a:r>
            <a:rPr lang="en-US" sz="1200" b="0">
              <a:solidFill>
                <a:schemeClr val="dk1"/>
              </a:solidFill>
              <a:latin typeface="+mn-lt"/>
              <a:ea typeface="+mn-ea"/>
              <a:cs typeface="+mn-cs"/>
            </a:rPr>
            <a:t>such</a:t>
          </a:r>
          <a:r>
            <a:rPr lang="en-US" sz="1200">
              <a:solidFill>
                <a:schemeClr val="dk1"/>
              </a:solidFill>
              <a:latin typeface="+mn-lt"/>
              <a:ea typeface="+mn-ea"/>
              <a:cs typeface="+mn-cs"/>
            </a:rPr>
            <a:t> as internet or laptops that need to be purchased.</a:t>
          </a:r>
        </a:p>
        <a:p>
          <a:endParaRPr lang="en-US" sz="1200" b="1" baseline="0"/>
        </a:p>
        <a:p>
          <a:r>
            <a:rPr lang="en-US" sz="1200" b="1" baseline="0"/>
            <a:t>Notes</a:t>
          </a:r>
        </a:p>
        <a:p>
          <a:r>
            <a:rPr lang="en-US" sz="1200">
              <a:solidFill>
                <a:schemeClr val="dk1"/>
              </a:solidFill>
              <a:latin typeface="+mn-lt"/>
              <a:ea typeface="+mn-ea"/>
              <a:cs typeface="+mn-cs"/>
            </a:rPr>
            <a:t>	●  </a:t>
          </a:r>
          <a:r>
            <a:rPr lang="en-US" sz="1200" b="1">
              <a:solidFill>
                <a:schemeClr val="dk1"/>
              </a:solidFill>
              <a:latin typeface="+mn-lt"/>
              <a:ea typeface="+mn-ea"/>
              <a:cs typeface="+mn-cs"/>
            </a:rPr>
            <a:t>IMPORTANT: </a:t>
          </a:r>
          <a:r>
            <a:rPr lang="en-US" sz="1200" b="0">
              <a:solidFill>
                <a:schemeClr val="dk1"/>
              </a:solidFill>
              <a:latin typeface="+mn-lt"/>
              <a:ea typeface="+mn-ea"/>
              <a:cs typeface="+mn-cs"/>
            </a:rPr>
            <a:t>The</a:t>
          </a:r>
          <a:r>
            <a:rPr lang="en-US" sz="1200" b="0" baseline="0">
              <a:solidFill>
                <a:schemeClr val="dk1"/>
              </a:solidFill>
              <a:latin typeface="+mn-lt"/>
              <a:ea typeface="+mn-ea"/>
              <a:cs typeface="+mn-cs"/>
            </a:rPr>
            <a:t> personnel (Project Manager, Field Staff, and additional staff) and office costs expressed in this model are ONLY for additional personnel and office expenses needed for 	CommCare or the use of another mobile technology. This does NOT account for current personnel or offices already existing (and budgeted for) in the current project.</a:t>
          </a:r>
          <a:endParaRPr lang="en-US" sz="1200" b="1">
            <a:solidFill>
              <a:schemeClr val="dk1"/>
            </a:solidFill>
            <a:latin typeface="+mn-lt"/>
            <a:ea typeface="+mn-ea"/>
            <a:cs typeface="+mn-cs"/>
          </a:endParaRPr>
        </a:p>
        <a:p>
          <a:pPr lvl="2"/>
          <a:r>
            <a:rPr lang="en-US" sz="1200">
              <a:solidFill>
                <a:schemeClr val="dk1"/>
              </a:solidFill>
              <a:latin typeface="+mn-lt"/>
              <a:ea typeface="+mn-ea"/>
              <a:cs typeface="+mn-cs"/>
            </a:rPr>
            <a:t>●  If this template does not work for you, then of course you can change it. You just have to unprotect the worksheets by going to Tools&gt;Protection&gt;Unprotect</a:t>
          </a:r>
          <a:r>
            <a:rPr lang="en-US" sz="1200" baseline="0">
              <a:solidFill>
                <a:schemeClr val="dk1"/>
              </a:solidFill>
              <a:latin typeface="+mn-lt"/>
              <a:ea typeface="+mn-ea"/>
              <a:cs typeface="+mn-cs"/>
            </a:rPr>
            <a:t> sheet. </a:t>
          </a:r>
          <a:r>
            <a:rPr lang="en-US" sz="1200">
              <a:solidFill>
                <a:schemeClr val="dk1"/>
              </a:solidFill>
              <a:latin typeface="+mn-lt"/>
              <a:ea typeface="+mn-ea"/>
              <a:cs typeface="+mn-cs"/>
            </a:rPr>
            <a:t>Though                       feel free to discuss with us first in case we can help</a:t>
          </a:r>
          <a:r>
            <a:rPr lang="en-US" sz="1200" baseline="0">
              <a:solidFill>
                <a:schemeClr val="dk1"/>
              </a:solidFill>
              <a:latin typeface="+mn-lt"/>
              <a:ea typeface="+mn-ea"/>
              <a:cs typeface="+mn-cs"/>
            </a:rPr>
            <a:t> and to allow us to get some feedbacks</a:t>
          </a:r>
        </a:p>
        <a:p>
          <a:r>
            <a:rPr lang="en-US" sz="1200">
              <a:solidFill>
                <a:schemeClr val="dk1"/>
              </a:solidFill>
              <a:latin typeface="+mn-lt"/>
              <a:ea typeface="+mn-ea"/>
              <a:cs typeface="+mn-cs"/>
            </a:rPr>
            <a:t>	●  If you have additional items to note, please</a:t>
          </a:r>
          <a:r>
            <a:rPr lang="en-US" sz="1200" baseline="0">
              <a:solidFill>
                <a:schemeClr val="dk1"/>
              </a:solidFill>
              <a:latin typeface="+mn-lt"/>
              <a:ea typeface="+mn-ea"/>
              <a:cs typeface="+mn-cs"/>
            </a:rPr>
            <a:t> </a:t>
          </a:r>
          <a:r>
            <a:rPr lang="en-US" sz="1200">
              <a:solidFill>
                <a:schemeClr val="dk1"/>
              </a:solidFill>
              <a:latin typeface="+mn-lt"/>
              <a:ea typeface="+mn-ea"/>
              <a:cs typeface="+mn-cs"/>
            </a:rPr>
            <a:t>insert an additional row (but manually inserted rows won't automatically update the outputs).</a:t>
          </a:r>
        </a:p>
        <a:p>
          <a:r>
            <a:rPr lang="en-US" sz="1200">
              <a:solidFill>
                <a:schemeClr val="dk1"/>
              </a:solidFill>
              <a:latin typeface="+mn-lt"/>
              <a:ea typeface="+mn-ea"/>
              <a:cs typeface="+mn-cs"/>
            </a:rPr>
            <a:t>	●  If you want to read the titles in SPANISH, you can unprotect the TCO_INPUTS worksheet and unhide the column D</a:t>
          </a:r>
        </a:p>
        <a:p>
          <a:endParaRPr lang="en-US" sz="1200">
            <a:solidFill>
              <a:schemeClr val="dk1"/>
            </a:solidFill>
            <a:latin typeface="+mn-lt"/>
            <a:ea typeface="+mn-ea"/>
            <a:cs typeface="+mn-cs"/>
          </a:endParaRPr>
        </a:p>
        <a:p>
          <a:endParaRPr lang="en-US" sz="1200">
            <a:solidFill>
              <a:schemeClr val="dk1"/>
            </a:solidFill>
            <a:latin typeface="+mn-lt"/>
            <a:ea typeface="+mn-ea"/>
            <a:cs typeface="+mn-cs"/>
          </a:endParaRPr>
        </a:p>
        <a:p>
          <a:endParaRPr lang="en-US" sz="1200">
            <a:solidFill>
              <a:schemeClr val="dk1"/>
            </a:solidFill>
            <a:latin typeface="+mn-lt"/>
            <a:ea typeface="+mn-ea"/>
            <a:cs typeface="+mn-cs"/>
          </a:endParaRPr>
        </a:p>
        <a:p>
          <a:r>
            <a:rPr lang="en-US" sz="1400" b="1">
              <a:solidFill>
                <a:schemeClr val="dk1"/>
              </a:solidFill>
              <a:latin typeface="+mn-lt"/>
              <a:ea typeface="+mn-ea"/>
              <a:cs typeface="+mn-cs"/>
            </a:rPr>
            <a:t>Contact: Please contact Audrey Philippot (aphilippot@dimagi.com) with any questions, feedback, or thoughts for improvement.</a:t>
          </a:r>
        </a:p>
        <a:p>
          <a:endParaRPr lang="en-US" sz="1200">
            <a:solidFill>
              <a:schemeClr val="dk1"/>
            </a:solidFill>
            <a:latin typeface="+mn-lt"/>
            <a:ea typeface="+mn-ea"/>
            <a:cs typeface="+mn-cs"/>
          </a:endParaRPr>
        </a:p>
        <a:p>
          <a:endParaRPr lang="en-US" sz="1200"/>
        </a:p>
      </xdr:txBody>
    </xdr:sp>
    <xdr:clientData/>
  </xdr:twoCellAnchor>
  <xdr:twoCellAnchor editAs="oneCell">
    <xdr:from>
      <xdr:col>0</xdr:col>
      <xdr:colOff>28575</xdr:colOff>
      <xdr:row>0</xdr:row>
      <xdr:rowOff>66675</xdr:rowOff>
    </xdr:from>
    <xdr:to>
      <xdr:col>2</xdr:col>
      <xdr:colOff>889000</xdr:colOff>
      <xdr:row>1</xdr:row>
      <xdr:rowOff>174665</xdr:rowOff>
    </xdr:to>
    <xdr:pic>
      <xdr:nvPicPr>
        <xdr:cNvPr id="3"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8575" y="66675"/>
          <a:ext cx="1622425" cy="361990"/>
        </a:xfrm>
        <a:prstGeom prst="rect">
          <a:avLst/>
        </a:prstGeom>
        <a:noFill/>
        <a:ln w="1">
          <a:noFill/>
          <a:miter lim="800000"/>
          <a:headEnd/>
          <a:tailEnd type="none" w="med" len="med"/>
        </a:ln>
        <a:effectLst/>
      </xdr:spPr>
    </xdr:pic>
    <xdr:clientData/>
  </xdr:twoCellAnchor>
  <xdr:twoCellAnchor editAs="oneCell">
    <xdr:from>
      <xdr:col>12</xdr:col>
      <xdr:colOff>201705</xdr:colOff>
      <xdr:row>0</xdr:row>
      <xdr:rowOff>33618</xdr:rowOff>
    </xdr:from>
    <xdr:to>
      <xdr:col>13</xdr:col>
      <xdr:colOff>510428</xdr:colOff>
      <xdr:row>2</xdr:row>
      <xdr:rowOff>131012</xdr:rowOff>
    </xdr:to>
    <xdr:pic>
      <xdr:nvPicPr>
        <xdr:cNvPr id="4" name="Picture 3"/>
        <xdr:cNvPicPr>
          <a:picLocks noChangeAspect="1"/>
        </xdr:cNvPicPr>
      </xdr:nvPicPr>
      <xdr:blipFill>
        <a:blip xmlns:r="http://schemas.openxmlformats.org/officeDocument/2006/relationships" r:embed="rId2"/>
        <a:stretch>
          <a:fillRect/>
        </a:stretch>
      </xdr:blipFill>
      <xdr:spPr>
        <a:xfrm>
          <a:off x="9307605" y="33618"/>
          <a:ext cx="1137398" cy="55888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50461</xdr:colOff>
      <xdr:row>6</xdr:row>
      <xdr:rowOff>127794</xdr:rowOff>
    </xdr:from>
    <xdr:to>
      <xdr:col>2</xdr:col>
      <xdr:colOff>1730004</xdr:colOff>
      <xdr:row>7</xdr:row>
      <xdr:rowOff>316852</xdr:rowOff>
    </xdr:to>
    <xdr:pic>
      <xdr:nvPicPr>
        <xdr:cNvPr id="3"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40961" y="127794"/>
          <a:ext cx="1679543" cy="375325"/>
        </a:xfrm>
        <a:prstGeom prst="rect">
          <a:avLst/>
        </a:prstGeom>
        <a:noFill/>
        <a:ln w="1">
          <a:noFill/>
          <a:miter lim="800000"/>
          <a:headEnd/>
          <a:tailEnd type="none" w="med" len="med"/>
        </a:ln>
        <a:effectLst/>
      </xdr:spPr>
    </xdr:pic>
    <xdr:clientData/>
  </xdr:twoCellAnchor>
  <xdr:twoCellAnchor editAs="oneCell">
    <xdr:from>
      <xdr:col>12</xdr:col>
      <xdr:colOff>921052</xdr:colOff>
      <xdr:row>6</xdr:row>
      <xdr:rowOff>118533</xdr:rowOff>
    </xdr:from>
    <xdr:to>
      <xdr:col>13</xdr:col>
      <xdr:colOff>632878</xdr:colOff>
      <xdr:row>7</xdr:row>
      <xdr:rowOff>331193</xdr:rowOff>
    </xdr:to>
    <xdr:pic>
      <xdr:nvPicPr>
        <xdr:cNvPr id="4" name="Picture 3"/>
        <xdr:cNvPicPr>
          <a:picLocks noChangeAspect="1"/>
        </xdr:cNvPicPr>
      </xdr:nvPicPr>
      <xdr:blipFill>
        <a:blip xmlns:r="http://schemas.openxmlformats.org/officeDocument/2006/relationships" r:embed="rId2"/>
        <a:stretch>
          <a:fillRect/>
        </a:stretch>
      </xdr:blipFill>
      <xdr:spPr>
        <a:xfrm>
          <a:off x="13633752" y="118533"/>
          <a:ext cx="956425" cy="3904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22</xdr:col>
      <xdr:colOff>630767</xdr:colOff>
      <xdr:row>0</xdr:row>
      <xdr:rowOff>33866</xdr:rowOff>
    </xdr:from>
    <xdr:to>
      <xdr:col>23</xdr:col>
      <xdr:colOff>628341</xdr:colOff>
      <xdr:row>2</xdr:row>
      <xdr:rowOff>34860</xdr:rowOff>
    </xdr:to>
    <xdr:pic>
      <xdr:nvPicPr>
        <xdr:cNvPr id="2" name="Picture 1"/>
        <xdr:cNvPicPr>
          <a:picLocks noChangeAspect="1"/>
        </xdr:cNvPicPr>
      </xdr:nvPicPr>
      <xdr:blipFill>
        <a:blip xmlns:r="http://schemas.openxmlformats.org/officeDocument/2006/relationships" r:embed="rId1"/>
        <a:stretch>
          <a:fillRect/>
        </a:stretch>
      </xdr:blipFill>
      <xdr:spPr>
        <a:xfrm>
          <a:off x="19816234" y="33866"/>
          <a:ext cx="827307" cy="424327"/>
        </a:xfrm>
        <a:prstGeom prst="rect">
          <a:avLst/>
        </a:prstGeom>
      </xdr:spPr>
    </xdr:pic>
    <xdr:clientData/>
  </xdr:twoCellAnchor>
  <xdr:twoCellAnchor editAs="oneCell">
    <xdr:from>
      <xdr:col>0</xdr:col>
      <xdr:colOff>380999</xdr:colOff>
      <xdr:row>0</xdr:row>
      <xdr:rowOff>67733</xdr:rowOff>
    </xdr:from>
    <xdr:to>
      <xdr:col>2</xdr:col>
      <xdr:colOff>437563</xdr:colOff>
      <xdr:row>2</xdr:row>
      <xdr:rowOff>25399</xdr:rowOff>
    </xdr:to>
    <xdr:pic>
      <xdr:nvPicPr>
        <xdr:cNvPr id="3"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380999" y="67733"/>
          <a:ext cx="1716031" cy="380999"/>
        </a:xfrm>
        <a:prstGeom prst="rect">
          <a:avLst/>
        </a:prstGeom>
        <a:noFill/>
        <a:ln w="1">
          <a:noFill/>
          <a:miter lim="800000"/>
          <a:headEnd/>
          <a:tailEnd type="none" w="med" len="med"/>
        </a:ln>
        <a:effectLst/>
      </xdr:spPr>
    </xdr:pic>
    <xdr:clientData/>
  </xdr:twoCellAnchor>
  <xdr:absoluteAnchor>
    <xdr:pos x="11557000" y="1257300"/>
    <xdr:ext cx="8187267" cy="4117786"/>
    <xdr:graphicFrame macro="">
      <xdr:nvGraphicFramePr>
        <xdr:cNvPr id="4" name="Chart 3"/>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absoluteAnchor>
  <xdr:absoluteAnchor>
    <xdr:pos x="11531600" y="5791200"/>
    <xdr:ext cx="8267700" cy="3784600"/>
    <xdr:graphicFrame macro="">
      <xdr:nvGraphicFramePr>
        <xdr:cNvPr id="5" name="Chart 4"/>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absoluteAnchor>
</xdr:wsDr>
</file>

<file path=xl/drawings/drawing4.xml><?xml version="1.0" encoding="utf-8"?>
<xdr:wsDr xmlns:xdr="http://schemas.openxmlformats.org/drawingml/2006/spreadsheetDrawing" xmlns:a="http://schemas.openxmlformats.org/drawingml/2006/main">
  <xdr:twoCellAnchor editAs="oneCell">
    <xdr:from>
      <xdr:col>2</xdr:col>
      <xdr:colOff>50461</xdr:colOff>
      <xdr:row>6</xdr:row>
      <xdr:rowOff>127794</xdr:rowOff>
    </xdr:from>
    <xdr:to>
      <xdr:col>2</xdr:col>
      <xdr:colOff>1730004</xdr:colOff>
      <xdr:row>7</xdr:row>
      <xdr:rowOff>325319</xdr:rowOff>
    </xdr:to>
    <xdr:pic>
      <xdr:nvPicPr>
        <xdr:cNvPr id="2"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240961" y="127794"/>
          <a:ext cx="1679543" cy="375325"/>
        </a:xfrm>
        <a:prstGeom prst="rect">
          <a:avLst/>
        </a:prstGeom>
        <a:noFill/>
        <a:ln w="1">
          <a:noFill/>
          <a:miter lim="800000"/>
          <a:headEnd/>
          <a:tailEnd type="none" w="med" len="med"/>
        </a:ln>
        <a:effectLst/>
      </xdr:spPr>
    </xdr:pic>
    <xdr:clientData/>
  </xdr:twoCellAnchor>
  <xdr:twoCellAnchor editAs="oneCell">
    <xdr:from>
      <xdr:col>9</xdr:col>
      <xdr:colOff>0</xdr:colOff>
      <xdr:row>6</xdr:row>
      <xdr:rowOff>169333</xdr:rowOff>
    </xdr:from>
    <xdr:to>
      <xdr:col>10</xdr:col>
      <xdr:colOff>262158</xdr:colOff>
      <xdr:row>8</xdr:row>
      <xdr:rowOff>9460</xdr:rowOff>
    </xdr:to>
    <xdr:pic>
      <xdr:nvPicPr>
        <xdr:cNvPr id="3" name="Picture 2"/>
        <xdr:cNvPicPr>
          <a:picLocks noChangeAspect="1"/>
        </xdr:cNvPicPr>
      </xdr:nvPicPr>
      <xdr:blipFill>
        <a:blip xmlns:r="http://schemas.openxmlformats.org/officeDocument/2006/relationships" r:embed="rId2"/>
        <a:stretch>
          <a:fillRect/>
        </a:stretch>
      </xdr:blipFill>
      <xdr:spPr>
        <a:xfrm>
          <a:off x="14383052" y="169333"/>
          <a:ext cx="960658" cy="39892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Work/Gates/Models/20080416%20Savings%20Model%20Baseline%20-%20Mexican%20exampl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E/Temp/Single%20Factor%20Analysis%20Too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Documents%20and%20Settings/KSmith/Desktop/20060112%201530%20CC%20Error%20Minimization%20Modified%20&amp;%20params%20end%202001-%20end%20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E/Temp/notesE1EF34/FTN%20Model%20Draft%20For%20Mike%20Waddell.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over Sheet"/>
      <sheetName val="----&gt;Inputs"/>
      <sheetName val="Base case Segment Parameters"/>
      <sheetName val="Environment Parameters"/>
      <sheetName val="Economic Shocks"/>
      <sheetName val="Future State Parameters"/>
      <sheetName val="Inputs&lt;----&gt;Calulations"/>
      <sheetName val="Cashflows"/>
      <sheetName val="Balance Sheet"/>
      <sheetName val="Response to Negative Net Income"/>
      <sheetName val="Calculations&lt;----&gt;Outputs"/>
      <sheetName val="Output Charts"/>
      <sheetName val="ROI Calculation"/>
      <sheetName val="$ Impact"/>
      <sheetName val="Output For Slides"/>
      <sheetName val="----&gt;Research"/>
      <sheetName val="Thailand Segments-Townsend"/>
      <sheetName val="Research on Impact Parameters"/>
      <sheetName val="Research on Economic Schocks"/>
      <sheetName val="1st order parameter Research"/>
      <sheetName val="2nd order effects Research"/>
      <sheetName val="Previous Research Segments"/>
      <sheetName val="Segment Research parameters"/>
      <sheetName val="FDSA-MSIP03-healer"/>
      <sheetName val="FDSA-MMDN02-Remittances"/>
      <sheetName val="FDSA-MMDP04-single mom casual"/>
      <sheetName val="FDSA-MNTP05-couple"/>
      <sheetName val="FDSA-DMYP01-pot"/>
      <sheetName val="FDSA-DBOP01-better off family"/>
      <sheetName val="20080416 Savings Model Baseline"/>
    </sheetNames>
    <sheetDataSet>
      <sheetData sheetId="0" refreshError="1"/>
      <sheetData sheetId="1" refreshError="1"/>
      <sheetData sheetId="2"/>
      <sheetData sheetId="3" refreshError="1"/>
      <sheetData sheetId="4" refreshError="1"/>
      <sheetData sheetId="5" refreshError="1"/>
      <sheetData sheetId="6" refreshError="1"/>
      <sheetData sheetId="7"/>
      <sheetData sheetId="8"/>
      <sheetData sheetId="9" refreshError="1"/>
      <sheetData sheetId="10" refreshError="1"/>
      <sheetData sheetId="11" refreshError="1"/>
      <sheetData sheetId="12" refreshError="1"/>
      <sheetData sheetId="13">
        <row r="6">
          <cell r="B6">
            <v>1</v>
          </cell>
        </row>
        <row r="26">
          <cell r="B26">
            <v>1</v>
          </cell>
        </row>
        <row r="45">
          <cell r="B45">
            <v>1</v>
          </cell>
        </row>
        <row r="64">
          <cell r="G64">
            <v>0</v>
          </cell>
        </row>
        <row r="65">
          <cell r="G65">
            <v>0</v>
          </cell>
        </row>
        <row r="85">
          <cell r="G85">
            <v>0</v>
          </cell>
        </row>
        <row r="86">
          <cell r="G86">
            <v>0</v>
          </cell>
        </row>
      </sheetData>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Read Me"/>
      <sheetName val="Raw Data"/>
      <sheetName val="All Powerstats"/>
      <sheetName val="Factor Graphs"/>
      <sheetName val="User Sheets &lt;-------&gt;Background"/>
      <sheetName val="Tested Variable"/>
      <sheetName val="Sub Perfect Model"/>
      <sheetName val="Perfect Model"/>
      <sheetName val="Rating Lookup Tables"/>
    </sheetNames>
    <sheetDataSet>
      <sheetData sheetId="0"/>
      <sheetData sheetId="1">
        <row r="1">
          <cell r="I1" t="str">
            <v xml:space="preserve">Total Assets th USD Last Year   </v>
          </cell>
          <cell r="J1" t="str">
            <v xml:space="preserve">Total Share Capital th USD Last Year   </v>
          </cell>
          <cell r="K1" t="str">
            <v xml:space="preserve">Equity th USD Last Year   </v>
          </cell>
          <cell r="L1" t="str">
            <v>Tangible Equity</v>
          </cell>
          <cell r="M1" t="str">
            <v xml:space="preserve">Intangible Assets th USD Last Year   </v>
          </cell>
          <cell r="N1" t="str">
            <v xml:space="preserve">Total Liabilities th USD Last Year   </v>
          </cell>
          <cell r="O1" t="str">
            <v xml:space="preserve">Pre-Tax Profit th USD Last Year   </v>
          </cell>
          <cell r="P1" t="str">
            <v>Pre-Tax/Total Assets</v>
          </cell>
          <cell r="Q1" t="str">
            <v xml:space="preserve">Post Tax Profit th USD Last Year   </v>
          </cell>
          <cell r="R1" t="str">
            <v>Post-Tax/Total Assets</v>
          </cell>
          <cell r="S1" t="str">
            <v xml:space="preserve">Total Deposits th USD Last Year   </v>
          </cell>
          <cell r="T1" t="str">
            <v xml:space="preserve">Total Capital th USD Last Year   </v>
          </cell>
          <cell r="U1" t="str">
            <v xml:space="preserve">Asset Year-over-Year Percent Growth </v>
          </cell>
          <cell r="V1" t="str">
            <v xml:space="preserve">Pre-Tax ProfitYear-over-Year Percent Growth </v>
          </cell>
          <cell r="W1" t="str">
            <v xml:space="preserve">Total Revenue Year-over-Year Percent Growth </v>
          </cell>
          <cell r="X1" t="str">
            <v xml:space="preserve">Equity Year-over-Year Percent Growth </v>
          </cell>
          <cell r="Y1" t="str">
            <v xml:space="preserve">Total Loans Year-over-Year Percent Growth </v>
          </cell>
          <cell r="Z1" t="str">
            <v xml:space="preserve">Total Deposits Year-over-Year Percent Growth </v>
          </cell>
          <cell r="AA1" t="str">
            <v xml:space="preserve">Return on Average Equity (ROAE) (%) Last Year   </v>
          </cell>
          <cell r="AB1" t="str">
            <v xml:space="preserve">Return on Average Assets (ROAA) (%) Last Year   </v>
          </cell>
          <cell r="AC1" t="str">
            <v xml:space="preserve">Net Interest Margin (%) Last Year   </v>
          </cell>
          <cell r="AD1" t="str">
            <v xml:space="preserve">(Net Income – Net Interest Income) / Total Assets </v>
          </cell>
          <cell r="AE1" t="str">
            <v xml:space="preserve">Net Income th USD Last Year   </v>
          </cell>
          <cell r="AF1" t="str">
            <v xml:space="preserve">Total Equity th USD Last Year   </v>
          </cell>
          <cell r="AG1" t="str">
            <v>Net Income/ Total Equity</v>
          </cell>
          <cell r="AH1" t="str">
            <v xml:space="preserve">Cost to Income Ratio (%) Last Year   </v>
          </cell>
          <cell r="AI1" t="str">
            <v xml:space="preserve">Total Revenue th USD Last Year   </v>
          </cell>
          <cell r="AJ1" t="str">
            <v xml:space="preserve">Interest Expense th USD Last Year   </v>
          </cell>
          <cell r="AK1" t="str">
            <v xml:space="preserve">Total Expenses th USD Last Year   </v>
          </cell>
          <cell r="AL1" t="str">
            <v>Efficiency Ratio</v>
          </cell>
          <cell r="AM1" t="str">
            <v xml:space="preserve">Dividend Pay-Out (%) Last Year   </v>
          </cell>
          <cell r="AN1" t="str">
            <v xml:space="preserve">Tier 1 Ratio (%) Last Year   </v>
          </cell>
          <cell r="AO1" t="str">
            <v xml:space="preserve">Total Capital Ratio (%) Last Year   </v>
          </cell>
          <cell r="AP1" t="str">
            <v>Tangilble Equity/ Total Assets</v>
          </cell>
          <cell r="AQ1" t="str">
            <v>Total Loans/ Equity</v>
          </cell>
          <cell r="AR1" t="str">
            <v xml:space="preserve">Total Loans -  Net th USD Last Year   </v>
          </cell>
          <cell r="AS1" t="str">
            <v>Total Debt / Equity</v>
          </cell>
          <cell r="AT1" t="str">
            <v>Total Debt / Total Assets</v>
          </cell>
          <cell r="AU1" t="str">
            <v xml:space="preserve">Equity / Total Assets (%) Last Year   </v>
          </cell>
          <cell r="AV1" t="str">
            <v>Tier 1 Capital / Total Assets</v>
          </cell>
          <cell r="AW1" t="str">
            <v xml:space="preserve">Tier 1 Capital th USD Last Year   </v>
          </cell>
          <cell r="AX1" t="str">
            <v>Total Assets / Total Liabilities</v>
          </cell>
          <cell r="AY1" t="str">
            <v>Total Capital / Total Liabilities</v>
          </cell>
          <cell r="AZ1" t="str">
            <v>Total Equity / Total Liabilities</v>
          </cell>
          <cell r="BA1" t="str">
            <v xml:space="preserve">Liquid Assets th USD Last Year   </v>
          </cell>
          <cell r="BB1" t="str">
            <v>Liquid Assets/ Total Assets</v>
          </cell>
          <cell r="BC1" t="str">
            <v>Liquid Assets / Total Liabilities</v>
          </cell>
          <cell r="BD1" t="str">
            <v>Liquid Assets / Deposits &amp; ST Funding</v>
          </cell>
          <cell r="BE1" t="str">
            <v xml:space="preserve">Deposits &amp; Short term funding th USD Last Year   </v>
          </cell>
          <cell r="BF1" t="str">
            <v>Total Loans / Total Deposits</v>
          </cell>
          <cell r="BG1" t="str">
            <v>Total Loans / Total Assets</v>
          </cell>
          <cell r="BH1" t="str">
            <v xml:space="preserve">Loan Loss Reserves th USD Last Year   </v>
          </cell>
          <cell r="BI1" t="str">
            <v>Loan Loss Reserves / Total Assets</v>
          </cell>
          <cell r="BJ1" t="str">
            <v xml:space="preserve">Loan Loss Reserve / Gross Loans (%) Last Year   </v>
          </cell>
          <cell r="BK1" t="str">
            <v xml:space="preserve">Loan Loss Res / Impaired Loans (%) Last Year   </v>
          </cell>
          <cell r="BL1" t="str">
            <v xml:space="preserve">Net Charge offs th USD Last Year   </v>
          </cell>
          <cell r="BM1" t="str">
            <v>(Pretax Profit+Provision for Loan Losses)/Net Charge-Offs</v>
          </cell>
          <cell r="BN1" t="str">
            <v xml:space="preserve">Impaired Loans / Gross Loans (%) Last Year   </v>
          </cell>
          <cell r="BO1" t="str">
            <v xml:space="preserve">Loan Loss Provisions th USD Last Year   </v>
          </cell>
          <cell r="BP1" t="str">
            <v xml:space="preserve">Trading Securities th USD Last Year   </v>
          </cell>
          <cell r="BQ1" t="str">
            <v xml:space="preserve">Total Problem Loans th USD Last Year   </v>
          </cell>
          <cell r="BR1" t="str">
            <v xml:space="preserve">Mortgages th USD Last Year   </v>
          </cell>
          <cell r="BS1" t="str">
            <v>Mortgages / Total Assets</v>
          </cell>
          <cell r="BT1" t="str">
            <v>Total Problem Loans / Total Loans</v>
          </cell>
          <cell r="BU1" t="str">
            <v>Net Charge-offs/ Total Loans</v>
          </cell>
          <cell r="BV1" t="str">
            <v xml:space="preserve">Loan Loss Prov / Net Int Rev (%) Last Year   </v>
          </cell>
          <cell r="BW1" t="str">
            <v xml:space="preserve">NCO / Average Gross Loans (%) Last Year   </v>
          </cell>
          <cell r="BX1" t="str">
            <v xml:space="preserve">NCO / Net Inc Bef Ln Lss Prov (%) Last Year   </v>
          </cell>
          <cell r="BY1" t="str">
            <v xml:space="preserve">Equity / Net Loans (%) Last Year   </v>
          </cell>
          <cell r="BZ1" t="str">
            <v xml:space="preserve">Equity / Dep &amp; ST Funding (%) Last Year   </v>
          </cell>
          <cell r="CA1" t="str">
            <v xml:space="preserve">Equity / Liabilities (%) Last Year   </v>
          </cell>
          <cell r="CB1" t="str">
            <v xml:space="preserve">Cap Funds / Tot Assets (%) Last Year   </v>
          </cell>
          <cell r="CC1" t="str">
            <v xml:space="preserve">Cap Funds / Net Loans (%) Last Year   </v>
          </cell>
          <cell r="CD1" t="str">
            <v xml:space="preserve">Cap Funds / Dep &amp; ST Funding (%) Last Year   </v>
          </cell>
          <cell r="CE1" t="str">
            <v xml:space="preserve">Capital Funds / Liabilities (%) Last Year   </v>
          </cell>
          <cell r="CF1" t="str">
            <v xml:space="preserve">Subord Debt / Cap Funds (%) Last Year   </v>
          </cell>
          <cell r="CG1" t="str">
            <v xml:space="preserve">Net Int Rev / Avg Assets (%) Last Year   </v>
          </cell>
          <cell r="CH1" t="str">
            <v xml:space="preserve">Oth Op Inc / Avg Assets (%) Last Year   </v>
          </cell>
          <cell r="CI1" t="str">
            <v xml:space="preserve">Non Int Exp / Avg Assets (%) Last Year   </v>
          </cell>
          <cell r="CJ1" t="str">
            <v xml:space="preserve">Pre-Tax Op Inc / Avg Assets (%) Last Year   </v>
          </cell>
          <cell r="CK1" t="str">
            <v xml:space="preserve">Non Op Items &amp; Taxes / Avg Ast (%) Last Year   </v>
          </cell>
          <cell r="CL1" t="str">
            <v xml:space="preserve">Inc Net Of Dist / Avg Equity (%) Last Year   </v>
          </cell>
          <cell r="CM1" t="str">
            <v xml:space="preserve">Non Op Items / Net Income (%) Last Year   </v>
          </cell>
          <cell r="CN1" t="str">
            <v xml:space="preserve">Recurring Earning Power (%) Last Year   </v>
          </cell>
          <cell r="CO1" t="str">
            <v xml:space="preserve">Interbank Ratio (%) Last Year   </v>
          </cell>
          <cell r="CP1" t="str">
            <v xml:space="preserve">Net Loans / Total Assets (%) Last Year   </v>
          </cell>
          <cell r="CQ1" t="str">
            <v xml:space="preserve">Net Loans / Customer &amp; ST Funding (%) Last Year   </v>
          </cell>
          <cell r="CR1" t="str">
            <v xml:space="preserve">Net Loans / Tot Dep &amp; Bor (%) Last Year   </v>
          </cell>
          <cell r="CS1" t="str">
            <v xml:space="preserve">Liquid Assets / Cust &amp; ST Funding (%) Last Year   </v>
          </cell>
          <cell r="CT1" t="str">
            <v xml:space="preserve">Liquid Assets / Tot Dep &amp; Bor (%) Last Year   </v>
          </cell>
          <cell r="CU1" t="str">
            <v xml:space="preserve">Total Earning Assets th USD Last Year   </v>
          </cell>
          <cell r="CV1" t="str">
            <v xml:space="preserve">Impaired Loans (Memo) th USD Last Year   </v>
          </cell>
          <cell r="CW1" t="str">
            <v xml:space="preserve">Operating Income (Memo) th USD Last Year   </v>
          </cell>
          <cell r="CX1" t="str">
            <v xml:space="preserve">Loan Loss Reserves (Memo) th USD Last Year   </v>
          </cell>
          <cell r="CY1" t="str">
            <v>(Total Expenses - Interest Expense)/Total Earning Assets</v>
          </cell>
          <cell r="CZ1" t="str">
            <v>Loan Loss Provisions/(Operating Income (memo)+Loan Loss Provisions)</v>
          </cell>
          <cell r="DA1" t="str">
            <v>Impaired Loans (memo)/(Loans+Loan Loss Reserves (Memo))</v>
          </cell>
          <cell r="DB1" t="str">
            <v>(Impaired Loans (Memo)-Loan Loss Reserves (Memo))/Total Capital</v>
          </cell>
          <cell r="DC1" t="str">
            <v>Loan Loss Reserves/Total Assets</v>
          </cell>
          <cell r="DD1" t="str">
            <v>Loan Loss Reserves/Loans</v>
          </cell>
        </row>
      </sheetData>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Overview"/>
      <sheetName val="Chart Spreads (Act vs. Proj)"/>
      <sheetName val="Spread Chart Calculations"/>
      <sheetName val="Current Coupon Spreads --&gt;"/>
      <sheetName val="Current Coupon Comparison"/>
      <sheetName val="Current Coupon Spread Actual"/>
      <sheetName val="CC Spread Predicted (All)"/>
      <sheetName val="CC Spread Predicted (X-month)"/>
      <sheetName val="Current Coupon Regression (m)"/>
      <sheetName val="Spread --&gt;"/>
      <sheetName val="wvol x Vol+b  (All)"/>
      <sheetName val="wvol x Vol+b  (X-month)"/>
      <sheetName val="Vol"/>
      <sheetName val="Epsilon (X-month)"/>
      <sheetName val="Epsilon (All Projections)"/>
      <sheetName val="Data --&gt;"/>
      <sheetName val="Time"/>
      <sheetName val="Monthly calibration 2001-2002"/>
      <sheetName val="Parameters"/>
      <sheetName val="Day of Week"/>
      <sheetName val="Market Data"/>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Cover Sheet"/>
      <sheetName val="FTN Financials"/>
      <sheetName val="Income Statement"/>
      <sheetName val="Balance Sheet"/>
      <sheetName val="Forecasts by Business Line"/>
      <sheetName val="Fixed Income Current Products"/>
      <sheetName val="International FI Sales"/>
      <sheetName val="IRD"/>
      <sheetName val="Equity Research"/>
      <sheetName val="Mortgage Sales from FHHLC"/>
      <sheetName val="Non-Modeled Businesses"/>
      <sheetName val="Inputs"/>
      <sheetName val="Current Business Status"/>
      <sheetName val="Strategy Parameters"/>
      <sheetName val="Other Assumptions"/>
      <sheetName val="Base Market Forecasts"/>
      <sheetName val="Final Market"/>
      <sheetName val="Non-Modeled Business Inputs"/>
      <sheetName val="Inputs from Other Business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vmlDrawing" Target="../drawings/vmlDrawing1.vml"/><Relationship Id="rId3"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 Id="rId2" Type="http://schemas.openxmlformats.org/officeDocument/2006/relationships/vmlDrawing" Target="../drawings/vmlDrawing2.vml"/><Relationship Id="rId3"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tabSelected="1" view="pageBreakPreview" topLeftCell="B1" zoomScaleSheetLayoutView="85" workbookViewId="0">
      <selection activeCell="B4" sqref="B4"/>
    </sheetView>
  </sheetViews>
  <sheetFormatPr baseColWidth="10" defaultColWidth="9.1640625" defaultRowHeight="14" x14ac:dyDescent="0"/>
  <cols>
    <col min="1" max="1" width="0.83203125" style="58" customWidth="1"/>
    <col min="2" max="2" width="9.1640625" style="58"/>
    <col min="3" max="3" width="32.5" style="58" customWidth="1"/>
    <col min="4" max="9" width="9.1640625" style="58"/>
    <col min="10" max="10" width="21" style="58" customWidth="1"/>
    <col min="11" max="12" width="9.1640625" style="58"/>
    <col min="13" max="13" width="12.5" style="58" customWidth="1"/>
    <col min="14" max="16384" width="9.1640625" style="58"/>
  </cols>
  <sheetData>
    <row r="1" spans="1:14" s="1" customFormat="1" ht="20">
      <c r="A1" s="28"/>
      <c r="B1" s="29"/>
      <c r="C1" s="29"/>
      <c r="D1" s="29"/>
      <c r="E1" s="30"/>
      <c r="F1" s="30"/>
      <c r="G1" s="29"/>
      <c r="H1" s="29"/>
      <c r="I1" s="29"/>
      <c r="J1" s="29"/>
      <c r="K1" s="29"/>
      <c r="L1" s="135"/>
      <c r="M1" s="29"/>
      <c r="N1" s="60"/>
    </row>
    <row r="2" spans="1:14" s="1" customFormat="1">
      <c r="A2" s="31"/>
      <c r="B2" s="2"/>
      <c r="C2" s="2"/>
      <c r="D2" s="2"/>
      <c r="E2" s="26"/>
      <c r="F2" s="26"/>
      <c r="G2" s="2"/>
      <c r="H2" s="2"/>
      <c r="I2" s="2"/>
      <c r="J2" s="2"/>
      <c r="K2" s="2"/>
      <c r="L2" s="2"/>
      <c r="M2" s="2"/>
      <c r="N2" s="111"/>
    </row>
    <row r="3" spans="1:14" s="2" customFormat="1" ht="15" thickBot="1">
      <c r="A3" s="136"/>
      <c r="B3" s="101"/>
      <c r="C3" s="101"/>
      <c r="D3" s="101"/>
      <c r="E3" s="101"/>
      <c r="F3" s="102"/>
      <c r="G3" s="103"/>
      <c r="H3" s="101"/>
      <c r="I3" s="101"/>
      <c r="J3" s="101"/>
      <c r="K3" s="101"/>
      <c r="L3" s="101"/>
      <c r="M3" s="101"/>
      <c r="N3" s="137"/>
    </row>
    <row r="4" spans="1:14" s="3" customFormat="1" ht="11" customHeight="1">
      <c r="A4" s="31"/>
      <c r="C4" s="2"/>
      <c r="D4" s="12"/>
      <c r="E4" s="12"/>
      <c r="F4" s="12"/>
      <c r="G4" s="99"/>
      <c r="H4" s="104"/>
      <c r="I4" s="12"/>
      <c r="J4" s="12"/>
    </row>
    <row r="6" spans="1:14" ht="15.75" customHeight="1">
      <c r="B6" s="105" t="s">
        <v>80</v>
      </c>
    </row>
    <row r="33" spans="1:2" s="1" customFormat="1">
      <c r="A33" s="31"/>
      <c r="B33" s="2"/>
    </row>
    <row r="34" spans="1:2" s="3" customFormat="1">
      <c r="A34" s="31"/>
      <c r="B34" s="12"/>
    </row>
  </sheetData>
  <phoneticPr fontId="37" type="noConversion"/>
  <pageMargins left="0.7" right="0.7" top="0.75" bottom="0.75" header="0.3" footer="0.3"/>
  <pageSetup scale="72" orientation="landscape" horizontalDpi="4294967293" verticalDpi="4294967293"/>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96"/>
  <sheetViews>
    <sheetView showGridLines="0" topLeftCell="B71" zoomScale="110" zoomScaleNormal="110" zoomScaleSheetLayoutView="80" zoomScalePageLayoutView="110" workbookViewId="0">
      <selection activeCell="E93" sqref="E93"/>
    </sheetView>
  </sheetViews>
  <sheetFormatPr baseColWidth="10" defaultColWidth="9.1640625" defaultRowHeight="14" outlineLevelCol="1" x14ac:dyDescent="0"/>
  <cols>
    <col min="1" max="1" width="1" style="3" customWidth="1"/>
    <col min="2" max="2" width="1.5" style="3" customWidth="1"/>
    <col min="3" max="3" width="66.83203125" style="3" customWidth="1"/>
    <col min="4" max="4" width="65.5" style="3" hidden="1" customWidth="1" outlineLevel="1"/>
    <col min="5" max="5" width="16.1640625" style="3" customWidth="1" collapsed="1"/>
    <col min="6" max="6" width="16" style="3" customWidth="1"/>
    <col min="7" max="7" width="12.6640625" style="3" customWidth="1"/>
    <col min="8" max="8" width="11.1640625" style="3" bestFit="1" customWidth="1"/>
    <col min="9" max="9" width="11.5" style="3" customWidth="1"/>
    <col min="10" max="10" width="3.5" style="3" customWidth="1"/>
    <col min="11" max="11" width="11.1640625" style="3" customWidth="1"/>
    <col min="12" max="12" width="15.33203125" style="3" customWidth="1"/>
    <col min="13" max="13" width="16.33203125" style="3" customWidth="1"/>
    <col min="14" max="16384" width="9.1640625" style="3"/>
  </cols>
  <sheetData>
    <row r="1" spans="1:17" ht="16" hidden="1" customHeight="1">
      <c r="C1" s="140" t="s">
        <v>124</v>
      </c>
      <c r="E1" s="140" t="s">
        <v>120</v>
      </c>
      <c r="F1" s="140"/>
      <c r="G1" s="140"/>
      <c r="H1" s="140"/>
      <c r="I1" s="140"/>
    </row>
    <row r="2" spans="1:17" ht="17" hidden="1" customHeight="1">
      <c r="E2" s="140" t="s">
        <v>119</v>
      </c>
      <c r="F2" s="140"/>
      <c r="G2" s="140"/>
      <c r="H2" s="140"/>
      <c r="I2" s="140"/>
    </row>
    <row r="3" spans="1:17" ht="12" hidden="1" customHeight="1">
      <c r="E3" s="140" t="s">
        <v>121</v>
      </c>
      <c r="F3" s="140"/>
      <c r="G3" s="140"/>
      <c r="H3" s="140"/>
      <c r="I3" s="140"/>
    </row>
    <row r="4" spans="1:17" ht="9" hidden="1" customHeight="1">
      <c r="E4" s="140" t="s">
        <v>122</v>
      </c>
      <c r="F4" s="140"/>
      <c r="G4" s="140"/>
      <c r="H4" s="140"/>
      <c r="I4" s="140"/>
    </row>
    <row r="5" spans="1:17" ht="7" hidden="1" customHeight="1">
      <c r="E5" s="140" t="s">
        <v>123</v>
      </c>
      <c r="F5" s="140"/>
      <c r="G5" s="140"/>
      <c r="H5" s="140"/>
      <c r="I5" s="140"/>
    </row>
    <row r="6" spans="1:17" ht="15" hidden="1" thickBot="1"/>
    <row r="7" spans="1:17" s="1" customFormat="1">
      <c r="A7" s="28"/>
      <c r="B7" s="29"/>
      <c r="C7" s="29"/>
      <c r="D7" s="29"/>
      <c r="E7" s="29"/>
      <c r="F7" s="30"/>
      <c r="G7" s="30"/>
      <c r="H7" s="29"/>
      <c r="I7" s="29"/>
    </row>
    <row r="8" spans="1:17" s="1" customFormat="1" ht="30" customHeight="1">
      <c r="A8" s="41"/>
      <c r="B8" s="2"/>
      <c r="C8" s="2"/>
      <c r="D8" s="430" t="s">
        <v>83</v>
      </c>
      <c r="E8" s="2"/>
      <c r="F8" s="26"/>
      <c r="G8" s="26"/>
      <c r="H8" s="2"/>
      <c r="I8" s="2"/>
      <c r="J8" s="2"/>
    </row>
    <row r="9" spans="1:17" s="1" customFormat="1" ht="15" thickBot="1">
      <c r="A9" s="31"/>
      <c r="B9" s="72"/>
      <c r="C9" s="72"/>
      <c r="D9" s="72"/>
      <c r="E9" s="46"/>
      <c r="F9" s="46"/>
      <c r="G9" s="47"/>
      <c r="H9" s="47"/>
      <c r="I9" s="72"/>
      <c r="J9" s="72"/>
      <c r="K9" s="72"/>
      <c r="L9" s="138" t="s">
        <v>78</v>
      </c>
      <c r="M9" s="139"/>
      <c r="N9" s="139"/>
    </row>
    <row r="10" spans="1:17" ht="16" thickBot="1">
      <c r="A10" s="11"/>
      <c r="B10" s="33"/>
      <c r="C10" s="45" t="s">
        <v>51</v>
      </c>
      <c r="D10" s="45" t="s">
        <v>17</v>
      </c>
      <c r="E10" s="432" t="s">
        <v>1</v>
      </c>
      <c r="F10" s="432" t="s">
        <v>2</v>
      </c>
      <c r="G10" s="432" t="s">
        <v>3</v>
      </c>
      <c r="H10" s="432" t="s">
        <v>4</v>
      </c>
      <c r="I10" s="433" t="s">
        <v>5</v>
      </c>
      <c r="J10" s="443"/>
      <c r="K10" s="443"/>
      <c r="L10" s="141"/>
      <c r="M10" s="325" t="s">
        <v>79</v>
      </c>
      <c r="N10" s="326"/>
    </row>
    <row r="11" spans="1:17" s="10" customFormat="1" ht="15" customHeight="1" thickBot="1">
      <c r="A11" s="34"/>
      <c r="B11" s="35"/>
      <c r="C11" s="22" t="s">
        <v>95</v>
      </c>
      <c r="D11" s="22" t="s">
        <v>251</v>
      </c>
      <c r="E11" s="360">
        <v>100</v>
      </c>
      <c r="F11" s="360">
        <v>200</v>
      </c>
      <c r="G11" s="360">
        <v>500</v>
      </c>
      <c r="H11" s="360">
        <v>1000</v>
      </c>
      <c r="I11" s="360">
        <v>2500</v>
      </c>
      <c r="J11" s="368"/>
      <c r="K11" s="368"/>
      <c r="L11" s="182"/>
      <c r="M11" s="327" t="s">
        <v>118</v>
      </c>
      <c r="N11" s="328"/>
    </row>
    <row r="12" spans="1:17" s="10" customFormat="1" ht="15" customHeight="1" thickBot="1">
      <c r="A12" s="34"/>
      <c r="B12" s="35"/>
      <c r="C12" s="22" t="s">
        <v>96</v>
      </c>
      <c r="D12" s="441" t="s">
        <v>252</v>
      </c>
      <c r="E12" s="360">
        <v>2000</v>
      </c>
      <c r="F12" s="360">
        <v>2000</v>
      </c>
      <c r="G12" s="360">
        <v>2000</v>
      </c>
      <c r="H12" s="360">
        <v>2000</v>
      </c>
      <c r="I12" s="360">
        <v>2000</v>
      </c>
      <c r="J12" s="368"/>
      <c r="K12" s="368"/>
      <c r="L12" s="184"/>
      <c r="M12" s="329" t="s">
        <v>81</v>
      </c>
      <c r="N12" s="330"/>
    </row>
    <row r="13" spans="1:17" s="10" customFormat="1" ht="15" customHeight="1" thickBot="1">
      <c r="A13" s="34"/>
      <c r="B13" s="35"/>
      <c r="C13" s="431" t="s">
        <v>131</v>
      </c>
      <c r="D13" s="442" t="s">
        <v>253</v>
      </c>
      <c r="E13" s="361" t="s">
        <v>119</v>
      </c>
      <c r="F13" s="361" t="s">
        <v>121</v>
      </c>
      <c r="G13" s="361" t="s">
        <v>121</v>
      </c>
      <c r="H13" s="361" t="s">
        <v>122</v>
      </c>
      <c r="I13" s="361" t="s">
        <v>123</v>
      </c>
      <c r="J13" s="368"/>
      <c r="K13" s="368"/>
      <c r="L13" s="183"/>
      <c r="M13" s="183"/>
      <c r="N13" s="36"/>
    </row>
    <row r="14" spans="1:17" s="1" customFormat="1" ht="15" thickBot="1">
      <c r="A14" s="31"/>
      <c r="B14" s="2"/>
      <c r="C14" s="2"/>
      <c r="D14" s="2"/>
      <c r="E14" s="362"/>
      <c r="F14" s="363"/>
      <c r="G14" s="363"/>
      <c r="H14" s="363"/>
      <c r="I14" s="363"/>
      <c r="J14" s="444"/>
      <c r="K14" s="444"/>
    </row>
    <row r="15" spans="1:17" ht="15.75" customHeight="1" thickBot="1">
      <c r="A15" s="11"/>
      <c r="B15" s="12"/>
      <c r="C15" s="49" t="s">
        <v>249</v>
      </c>
      <c r="D15" s="49" t="s">
        <v>248</v>
      </c>
      <c r="E15" s="364" t="s">
        <v>15</v>
      </c>
      <c r="F15" s="365" t="s">
        <v>113</v>
      </c>
      <c r="G15" s="363"/>
      <c r="H15" s="366"/>
      <c r="I15" s="366"/>
      <c r="J15" s="443"/>
      <c r="K15" s="443"/>
      <c r="L15" s="477" t="s">
        <v>250</v>
      </c>
      <c r="M15" s="477"/>
      <c r="N15" s="477"/>
      <c r="Q15" s="211"/>
    </row>
    <row r="16" spans="1:17" s="10" customFormat="1" ht="15" customHeight="1" thickBot="1">
      <c r="A16" s="34"/>
      <c r="B16" s="36"/>
      <c r="C16" s="50" t="s">
        <v>128</v>
      </c>
      <c r="D16" s="50" t="s">
        <v>254</v>
      </c>
      <c r="E16" s="367">
        <v>1</v>
      </c>
      <c r="F16" s="367">
        <v>500</v>
      </c>
      <c r="G16" s="363"/>
      <c r="H16" s="368"/>
      <c r="I16" s="369"/>
      <c r="J16" s="445"/>
      <c r="K16" s="368"/>
      <c r="L16" s="477"/>
      <c r="M16" s="477"/>
      <c r="N16" s="477"/>
    </row>
    <row r="17" spans="1:14" s="10" customFormat="1" ht="15" customHeight="1" thickBot="1">
      <c r="A17" s="34"/>
      <c r="B17" s="36"/>
      <c r="C17" s="51" t="s">
        <v>129</v>
      </c>
      <c r="D17" s="51" t="s">
        <v>255</v>
      </c>
      <c r="E17" s="367">
        <v>2</v>
      </c>
      <c r="F17" s="367">
        <v>500</v>
      </c>
      <c r="G17" s="363"/>
      <c r="H17" s="363"/>
      <c r="I17" s="363"/>
      <c r="J17" s="445"/>
      <c r="K17" s="368"/>
      <c r="L17" s="477"/>
      <c r="M17" s="477"/>
      <c r="N17" s="477"/>
    </row>
    <row r="18" spans="1:14" s="10" customFormat="1" ht="15" customHeight="1" thickBot="1">
      <c r="A18" s="34"/>
      <c r="B18" s="36"/>
      <c r="C18" s="435" t="s">
        <v>130</v>
      </c>
      <c r="D18" s="51" t="s">
        <v>256</v>
      </c>
      <c r="E18" s="367">
        <v>0</v>
      </c>
      <c r="F18" s="367">
        <v>0</v>
      </c>
      <c r="G18" s="363"/>
      <c r="H18" s="363"/>
      <c r="I18" s="363"/>
      <c r="J18" s="368"/>
      <c r="K18" s="446"/>
      <c r="L18" s="477"/>
      <c r="M18" s="477"/>
      <c r="N18" s="477"/>
    </row>
    <row r="19" spans="1:14" s="12" customFormat="1" ht="15" thickBot="1">
      <c r="A19" s="11"/>
      <c r="C19" s="130"/>
      <c r="D19" s="130"/>
      <c r="E19" s="366"/>
      <c r="F19" s="366"/>
      <c r="G19" s="366"/>
      <c r="H19" s="370"/>
      <c r="I19" s="366"/>
      <c r="J19" s="366"/>
      <c r="K19" s="366"/>
      <c r="L19" s="10"/>
      <c r="M19" s="10"/>
      <c r="N19" s="10"/>
    </row>
    <row r="20" spans="1:14" s="12" customFormat="1" ht="16" thickBot="1">
      <c r="A20" s="11"/>
      <c r="C20" s="45" t="s">
        <v>156</v>
      </c>
      <c r="D20" s="130"/>
      <c r="E20" s="371">
        <v>0.09</v>
      </c>
      <c r="F20" s="366"/>
      <c r="G20" s="366"/>
      <c r="H20" s="366"/>
      <c r="I20" s="366"/>
      <c r="J20" s="366"/>
      <c r="K20" s="366"/>
      <c r="L20" s="10"/>
      <c r="M20" s="10"/>
      <c r="N20" s="10"/>
    </row>
    <row r="21" spans="1:14" s="12" customFormat="1" ht="15" thickBot="1">
      <c r="A21" s="11"/>
      <c r="E21" s="366"/>
      <c r="F21" s="366"/>
      <c r="G21" s="366"/>
      <c r="H21" s="366"/>
      <c r="I21" s="370"/>
      <c r="J21" s="366"/>
      <c r="K21" s="366"/>
      <c r="L21" s="10"/>
      <c r="M21" s="10"/>
      <c r="N21" s="10"/>
    </row>
    <row r="22" spans="1:14" ht="30">
      <c r="A22" s="37"/>
      <c r="B22" s="12"/>
      <c r="C22" s="39" t="s">
        <v>55</v>
      </c>
      <c r="D22" s="39" t="s">
        <v>18</v>
      </c>
      <c r="E22" s="372" t="s">
        <v>8</v>
      </c>
      <c r="F22" s="373" t="s">
        <v>9</v>
      </c>
      <c r="G22" s="374" t="s">
        <v>14</v>
      </c>
      <c r="H22" s="366"/>
      <c r="I22" s="366"/>
      <c r="J22" s="443"/>
      <c r="K22" s="447"/>
      <c r="L22" s="191"/>
      <c r="M22" s="192"/>
      <c r="N22" s="192"/>
    </row>
    <row r="23" spans="1:14" ht="15" thickBot="1">
      <c r="A23" s="37"/>
      <c r="B23" s="12"/>
      <c r="C23" s="15" t="s">
        <v>132</v>
      </c>
      <c r="D23" s="15" t="s">
        <v>19</v>
      </c>
      <c r="E23" s="375"/>
      <c r="F23" s="375"/>
      <c r="G23" s="376"/>
      <c r="H23" s="377"/>
      <c r="I23" s="366"/>
      <c r="J23" s="443"/>
      <c r="K23" s="448"/>
      <c r="L23" s="190"/>
      <c r="M23" s="190"/>
      <c r="N23" s="190"/>
    </row>
    <row r="24" spans="1:14" ht="15" thickBot="1">
      <c r="A24" s="37"/>
      <c r="B24" s="12"/>
      <c r="C24" s="38" t="s">
        <v>195</v>
      </c>
      <c r="D24" s="38" t="s">
        <v>257</v>
      </c>
      <c r="E24" s="378" t="s">
        <v>11</v>
      </c>
      <c r="F24" s="379">
        <v>0.1</v>
      </c>
      <c r="G24" s="380"/>
      <c r="H24" s="381"/>
      <c r="I24" s="366"/>
      <c r="J24" s="443"/>
      <c r="K24" s="449"/>
      <c r="L24" s="190"/>
      <c r="M24" s="190"/>
      <c r="N24" s="190"/>
    </row>
    <row r="25" spans="1:14" ht="15" thickBot="1">
      <c r="A25" s="37"/>
      <c r="B25" s="12"/>
      <c r="C25" s="17" t="s">
        <v>97</v>
      </c>
      <c r="D25" s="17" t="s">
        <v>258</v>
      </c>
      <c r="E25" s="382"/>
      <c r="F25" s="383"/>
      <c r="G25" s="384"/>
      <c r="H25" s="385"/>
      <c r="I25" s="366"/>
      <c r="J25" s="443"/>
      <c r="K25" s="449"/>
      <c r="L25" s="190"/>
      <c r="M25" s="190"/>
      <c r="N25" s="190"/>
    </row>
    <row r="26" spans="1:14" ht="15" thickBot="1">
      <c r="A26" s="37"/>
      <c r="B26" s="12"/>
      <c r="C26" s="18" t="s">
        <v>58</v>
      </c>
      <c r="D26" s="18" t="s">
        <v>259</v>
      </c>
      <c r="E26" s="386" t="s">
        <v>10</v>
      </c>
      <c r="F26" s="387">
        <v>2</v>
      </c>
      <c r="G26" s="388">
        <v>8</v>
      </c>
      <c r="H26" s="389"/>
      <c r="I26" s="366"/>
      <c r="J26" s="443"/>
      <c r="K26" s="449"/>
      <c r="L26" s="190"/>
      <c r="M26" s="190"/>
      <c r="N26" s="190"/>
    </row>
    <row r="27" spans="1:14" ht="15" thickBot="1">
      <c r="A27" s="37"/>
      <c r="B27" s="12"/>
      <c r="C27" s="18" t="s">
        <v>59</v>
      </c>
      <c r="D27" s="18" t="s">
        <v>260</v>
      </c>
      <c r="E27" s="386" t="s">
        <v>10</v>
      </c>
      <c r="F27" s="387">
        <v>1</v>
      </c>
      <c r="G27" s="388">
        <v>8</v>
      </c>
      <c r="H27" s="389"/>
      <c r="I27" s="366"/>
      <c r="J27" s="443"/>
      <c r="K27" s="447"/>
      <c r="L27" s="190"/>
      <c r="M27" s="190"/>
      <c r="N27" s="190"/>
    </row>
    <row r="28" spans="1:14" ht="15" thickBot="1">
      <c r="A28" s="37"/>
      <c r="B28" s="12"/>
      <c r="C28" s="17" t="s">
        <v>67</v>
      </c>
      <c r="D28" s="17" t="s">
        <v>22</v>
      </c>
      <c r="E28" s="382"/>
      <c r="F28" s="383"/>
      <c r="G28" s="384"/>
      <c r="H28" s="381"/>
      <c r="I28" s="366"/>
      <c r="J28" s="443"/>
      <c r="K28" s="447"/>
      <c r="L28" s="190"/>
      <c r="M28" s="190"/>
      <c r="N28" s="190"/>
    </row>
    <row r="29" spans="1:14" ht="15" thickBot="1">
      <c r="A29" s="37"/>
      <c r="B29" s="12"/>
      <c r="C29" s="18" t="s">
        <v>58</v>
      </c>
      <c r="D29" s="18" t="s">
        <v>259</v>
      </c>
      <c r="E29" s="386" t="s">
        <v>10</v>
      </c>
      <c r="F29" s="387">
        <v>4</v>
      </c>
      <c r="G29" s="388">
        <v>15</v>
      </c>
      <c r="H29" s="390"/>
      <c r="I29" s="366"/>
      <c r="J29" s="443"/>
      <c r="K29" s="447"/>
      <c r="L29" s="190"/>
      <c r="M29" s="190"/>
      <c r="N29" s="190"/>
    </row>
    <row r="30" spans="1:14" ht="15" thickBot="1">
      <c r="A30" s="37"/>
      <c r="B30" s="12"/>
      <c r="C30" s="18" t="s">
        <v>59</v>
      </c>
      <c r="D30" s="18" t="s">
        <v>260</v>
      </c>
      <c r="E30" s="386" t="s">
        <v>10</v>
      </c>
      <c r="F30" s="387">
        <v>1</v>
      </c>
      <c r="G30" s="388">
        <v>15</v>
      </c>
      <c r="H30" s="381"/>
      <c r="I30" s="366"/>
      <c r="J30" s="443"/>
      <c r="K30" s="447"/>
      <c r="L30" s="190"/>
      <c r="M30" s="190"/>
      <c r="N30" s="190"/>
    </row>
    <row r="31" spans="1:14" ht="15" thickBot="1">
      <c r="A31" s="37"/>
      <c r="B31" s="12"/>
      <c r="C31" s="17" t="s">
        <v>62</v>
      </c>
      <c r="D31" s="17" t="s">
        <v>23</v>
      </c>
      <c r="E31" s="382"/>
      <c r="F31" s="383"/>
      <c r="G31" s="384"/>
      <c r="H31" s="381"/>
      <c r="I31" s="366"/>
      <c r="J31" s="443"/>
      <c r="K31" s="443"/>
      <c r="L31" s="10"/>
      <c r="M31" s="10"/>
      <c r="N31" s="10"/>
    </row>
    <row r="32" spans="1:14" ht="15" thickBot="1">
      <c r="A32" s="37"/>
      <c r="B32" s="12"/>
      <c r="C32" s="18" t="s">
        <v>58</v>
      </c>
      <c r="D32" s="18" t="s">
        <v>259</v>
      </c>
      <c r="E32" s="386" t="s">
        <v>10</v>
      </c>
      <c r="F32" s="387">
        <v>4</v>
      </c>
      <c r="G32" s="388">
        <v>12</v>
      </c>
      <c r="H32" s="390"/>
      <c r="I32" s="366"/>
      <c r="J32" s="443"/>
      <c r="K32" s="443"/>
      <c r="L32" s="10"/>
      <c r="M32" s="10"/>
      <c r="N32" s="10"/>
    </row>
    <row r="33" spans="1:14" ht="15" thickBot="1">
      <c r="A33" s="37"/>
      <c r="B33" s="12"/>
      <c r="C33" s="193" t="s">
        <v>59</v>
      </c>
      <c r="D33" s="194" t="s">
        <v>260</v>
      </c>
      <c r="E33" s="391" t="s">
        <v>10</v>
      </c>
      <c r="F33" s="387">
        <v>1</v>
      </c>
      <c r="G33" s="388">
        <v>12</v>
      </c>
      <c r="H33" s="381"/>
      <c r="I33" s="366"/>
      <c r="J33" s="443"/>
      <c r="K33" s="443"/>
      <c r="L33" s="10"/>
      <c r="M33" s="10"/>
      <c r="N33" s="10"/>
    </row>
    <row r="34" spans="1:14" ht="15" thickBot="1">
      <c r="A34" s="37"/>
      <c r="B34" s="12"/>
      <c r="C34" s="434" t="s">
        <v>137</v>
      </c>
      <c r="D34" s="17" t="s">
        <v>261</v>
      </c>
      <c r="E34" s="382"/>
      <c r="F34" s="383"/>
      <c r="G34" s="384"/>
      <c r="H34" s="381"/>
      <c r="I34" s="366"/>
      <c r="J34" s="443"/>
      <c r="K34" s="443"/>
      <c r="L34" s="10"/>
      <c r="M34" s="10"/>
      <c r="N34" s="10"/>
    </row>
    <row r="35" spans="1:14" ht="15" thickBot="1">
      <c r="A35" s="37"/>
      <c r="B35" s="12"/>
      <c r="C35" s="456" t="s">
        <v>58</v>
      </c>
      <c r="D35" s="18" t="s">
        <v>259</v>
      </c>
      <c r="E35" s="386" t="s">
        <v>10</v>
      </c>
      <c r="F35" s="387">
        <v>0</v>
      </c>
      <c r="G35" s="388">
        <v>0</v>
      </c>
      <c r="H35" s="390"/>
      <c r="I35" s="366"/>
      <c r="J35" s="443"/>
      <c r="K35" s="443"/>
      <c r="L35" s="10"/>
      <c r="M35" s="10"/>
      <c r="N35" s="10"/>
    </row>
    <row r="36" spans="1:14" ht="15" thickBot="1">
      <c r="A36" s="37"/>
      <c r="B36" s="12"/>
      <c r="C36" s="457" t="s">
        <v>59</v>
      </c>
      <c r="D36" s="23" t="s">
        <v>260</v>
      </c>
      <c r="E36" s="392" t="s">
        <v>10</v>
      </c>
      <c r="F36" s="387">
        <v>0</v>
      </c>
      <c r="G36" s="388">
        <v>0</v>
      </c>
      <c r="H36" s="381"/>
      <c r="I36" s="366"/>
      <c r="J36" s="443"/>
      <c r="K36" s="443"/>
      <c r="L36" s="10"/>
      <c r="M36" s="10"/>
      <c r="N36" s="10"/>
    </row>
    <row r="37" spans="1:14" ht="15" thickBot="1">
      <c r="A37" s="37"/>
      <c r="B37" s="12"/>
      <c r="C37" s="24"/>
      <c r="D37" s="24"/>
      <c r="E37" s="393"/>
      <c r="F37" s="394"/>
      <c r="G37" s="395"/>
      <c r="H37" s="381"/>
      <c r="I37" s="366"/>
      <c r="J37" s="443"/>
      <c r="K37" s="443"/>
      <c r="L37" s="10"/>
      <c r="M37" s="10"/>
      <c r="N37" s="10"/>
    </row>
    <row r="38" spans="1:14">
      <c r="A38" s="37"/>
      <c r="B38" s="12"/>
      <c r="C38" s="25" t="s">
        <v>65</v>
      </c>
      <c r="D38" s="25" t="s">
        <v>20</v>
      </c>
      <c r="E38" s="396"/>
      <c r="F38" s="396"/>
      <c r="G38" s="397"/>
      <c r="H38" s="381"/>
      <c r="I38" s="366"/>
      <c r="J38" s="443"/>
      <c r="K38" s="443"/>
      <c r="L38" s="10"/>
      <c r="M38" s="10"/>
      <c r="N38" s="10"/>
    </row>
    <row r="39" spans="1:14" s="10" customFormat="1" ht="15" customHeight="1" thickBot="1">
      <c r="A39" s="34"/>
      <c r="B39" s="36"/>
      <c r="C39" s="17" t="s">
        <v>97</v>
      </c>
      <c r="D39" s="17" t="s">
        <v>258</v>
      </c>
      <c r="E39" s="382"/>
      <c r="F39" s="383"/>
      <c r="G39" s="384"/>
      <c r="H39" s="363"/>
      <c r="I39" s="363"/>
      <c r="J39" s="368"/>
      <c r="K39" s="368"/>
    </row>
    <row r="40" spans="1:14" ht="15" thickBot="1">
      <c r="A40" s="37"/>
      <c r="B40" s="12"/>
      <c r="C40" s="52" t="s">
        <v>84</v>
      </c>
      <c r="D40" s="52" t="s">
        <v>262</v>
      </c>
      <c r="E40" s="382" t="s">
        <v>12</v>
      </c>
      <c r="F40" s="387">
        <v>1</v>
      </c>
      <c r="G40" s="388">
        <v>1</v>
      </c>
      <c r="H40" s="381"/>
      <c r="I40" s="366"/>
      <c r="J40" s="443"/>
      <c r="K40" s="446"/>
      <c r="L40" s="10"/>
      <c r="M40" s="10"/>
      <c r="N40" s="10"/>
    </row>
    <row r="41" spans="1:14" ht="15" thickBot="1">
      <c r="A41" s="37"/>
      <c r="B41" s="12"/>
      <c r="C41" s="52" t="s">
        <v>133</v>
      </c>
      <c r="D41" s="52" t="s">
        <v>263</v>
      </c>
      <c r="E41" s="382" t="s">
        <v>12</v>
      </c>
      <c r="F41" s="387">
        <v>1</v>
      </c>
      <c r="G41" s="388"/>
      <c r="H41" s="398"/>
      <c r="I41" s="366"/>
      <c r="J41" s="443"/>
      <c r="K41" s="450"/>
      <c r="L41" s="10"/>
      <c r="M41" s="10"/>
      <c r="N41" s="10"/>
    </row>
    <row r="42" spans="1:14" ht="15" thickBot="1">
      <c r="A42" s="37"/>
      <c r="B42" s="12"/>
      <c r="C42" s="454" t="s">
        <v>66</v>
      </c>
      <c r="D42" s="40" t="s">
        <v>21</v>
      </c>
      <c r="E42" s="399" t="s">
        <v>12</v>
      </c>
      <c r="F42" s="387">
        <v>1</v>
      </c>
      <c r="G42" s="388">
        <v>0</v>
      </c>
      <c r="H42" s="398"/>
      <c r="I42" s="366"/>
      <c r="J42" s="443"/>
      <c r="K42" s="443"/>
      <c r="L42" s="10"/>
      <c r="M42" s="10"/>
      <c r="N42" s="10"/>
    </row>
    <row r="43" spans="1:14" ht="15" thickBot="1">
      <c r="A43" s="37"/>
      <c r="B43" s="12"/>
      <c r="C43" s="53"/>
      <c r="D43" s="53"/>
      <c r="E43" s="400"/>
      <c r="F43" s="401" t="s">
        <v>86</v>
      </c>
      <c r="G43" s="402">
        <f>SUMPRODUCT(TCO_INPUTS!F40:F42,TCO_INPUTS!G40:G42)</f>
        <v>1</v>
      </c>
      <c r="H43" s="398"/>
      <c r="I43" s="366"/>
      <c r="J43" s="443"/>
      <c r="K43" s="443"/>
      <c r="L43" s="10"/>
      <c r="M43" s="10"/>
      <c r="N43" s="10"/>
    </row>
    <row r="44" spans="1:14" ht="15" thickBot="1">
      <c r="A44" s="37"/>
      <c r="B44" s="12"/>
      <c r="C44" s="54" t="s">
        <v>145</v>
      </c>
      <c r="D44" s="54" t="s">
        <v>22</v>
      </c>
      <c r="E44" s="403"/>
      <c r="F44" s="404"/>
      <c r="G44" s="405"/>
      <c r="H44" s="398"/>
      <c r="I44" s="366"/>
      <c r="J44" s="443"/>
      <c r="K44" s="443"/>
      <c r="L44" s="10"/>
      <c r="M44" s="10"/>
      <c r="N44" s="10"/>
    </row>
    <row r="45" spans="1:14" ht="15" thickBot="1">
      <c r="A45" s="37"/>
      <c r="B45" s="12"/>
      <c r="C45" s="52" t="s">
        <v>84</v>
      </c>
      <c r="D45" s="52" t="s">
        <v>262</v>
      </c>
      <c r="E45" s="382" t="s">
        <v>12</v>
      </c>
      <c r="F45" s="387">
        <v>1</v>
      </c>
      <c r="G45" s="388">
        <v>1</v>
      </c>
      <c r="H45" s="398"/>
      <c r="I45" s="366"/>
      <c r="J45" s="443"/>
      <c r="K45" s="443"/>
      <c r="L45" s="10"/>
      <c r="M45" s="10"/>
      <c r="N45" s="10"/>
    </row>
    <row r="46" spans="1:14" ht="15" thickBot="1">
      <c r="A46" s="37"/>
      <c r="B46" s="12"/>
      <c r="C46" s="52" t="s">
        <v>87</v>
      </c>
      <c r="D46" s="52" t="s">
        <v>263</v>
      </c>
      <c r="E46" s="382" t="s">
        <v>12</v>
      </c>
      <c r="F46" s="387">
        <v>1</v>
      </c>
      <c r="G46" s="388">
        <v>550</v>
      </c>
      <c r="H46" s="389"/>
      <c r="I46" s="406"/>
      <c r="J46" s="443"/>
      <c r="K46" s="443"/>
      <c r="L46" s="10"/>
      <c r="M46" s="10"/>
      <c r="N46" s="10"/>
    </row>
    <row r="47" spans="1:14" ht="15" thickBot="1">
      <c r="A47" s="37"/>
      <c r="B47" s="12"/>
      <c r="C47" s="20" t="s">
        <v>69</v>
      </c>
      <c r="D47" s="52" t="s">
        <v>264</v>
      </c>
      <c r="E47" s="382" t="s">
        <v>12</v>
      </c>
      <c r="F47" s="387">
        <v>1</v>
      </c>
      <c r="G47" s="388">
        <v>11</v>
      </c>
      <c r="H47" s="389"/>
      <c r="I47" s="366"/>
      <c r="J47" s="443"/>
      <c r="K47" s="443"/>
      <c r="L47" s="10"/>
      <c r="M47" s="10"/>
      <c r="N47" s="10"/>
    </row>
    <row r="48" spans="1:14" ht="15" thickBot="1">
      <c r="A48" s="37"/>
      <c r="B48" s="12"/>
      <c r="C48" s="454" t="s">
        <v>66</v>
      </c>
      <c r="D48" s="40" t="s">
        <v>21</v>
      </c>
      <c r="E48" s="399" t="s">
        <v>12</v>
      </c>
      <c r="F48" s="387">
        <v>1</v>
      </c>
      <c r="G48" s="388">
        <v>0</v>
      </c>
      <c r="H48" s="389"/>
      <c r="I48" s="366"/>
      <c r="J48" s="443"/>
      <c r="K48" s="443"/>
      <c r="L48" s="10"/>
      <c r="M48" s="10"/>
      <c r="N48" s="10"/>
    </row>
    <row r="49" spans="1:14" ht="15" thickBot="1">
      <c r="A49" s="37"/>
      <c r="B49" s="12"/>
      <c r="C49" s="53"/>
      <c r="D49" s="53"/>
      <c r="E49" s="400"/>
      <c r="F49" s="401" t="s">
        <v>86</v>
      </c>
      <c r="G49" s="402">
        <f>SUMPRODUCT(TCO_INPUTS!F45:F48,TCO_INPUTS!G45:G48)</f>
        <v>562</v>
      </c>
      <c r="H49" s="398"/>
      <c r="I49" s="366"/>
      <c r="J49" s="443"/>
      <c r="K49" s="443"/>
      <c r="L49" s="10"/>
      <c r="M49" s="10"/>
      <c r="N49" s="10"/>
    </row>
    <row r="50" spans="1:14" ht="15" thickBot="1">
      <c r="A50" s="37"/>
      <c r="B50" s="12"/>
      <c r="C50" s="54" t="s">
        <v>146</v>
      </c>
      <c r="D50" s="54" t="s">
        <v>23</v>
      </c>
      <c r="E50" s="403"/>
      <c r="F50" s="404"/>
      <c r="G50" s="405"/>
      <c r="H50" s="398"/>
      <c r="I50" s="366"/>
      <c r="J50" s="443"/>
      <c r="K50" s="443"/>
      <c r="L50" s="10"/>
      <c r="M50" s="10"/>
      <c r="N50" s="10"/>
    </row>
    <row r="51" spans="1:14" ht="15" thickBot="1">
      <c r="A51" s="37"/>
      <c r="B51" s="12"/>
      <c r="C51" s="52" t="s">
        <v>84</v>
      </c>
      <c r="D51" s="52" t="s">
        <v>262</v>
      </c>
      <c r="E51" s="382" t="s">
        <v>12</v>
      </c>
      <c r="F51" s="387">
        <v>1</v>
      </c>
      <c r="G51" s="388">
        <v>1</v>
      </c>
      <c r="H51" s="381"/>
      <c r="I51" s="366"/>
      <c r="J51" s="443"/>
      <c r="K51" s="443"/>
      <c r="L51" s="10"/>
      <c r="M51" s="10"/>
      <c r="N51" s="10"/>
    </row>
    <row r="52" spans="1:14" ht="15" thickBot="1">
      <c r="A52" s="37"/>
      <c r="B52" s="12"/>
      <c r="C52" s="52" t="s">
        <v>87</v>
      </c>
      <c r="D52" s="52" t="s">
        <v>263</v>
      </c>
      <c r="E52" s="382" t="s">
        <v>12</v>
      </c>
      <c r="F52" s="387">
        <v>1</v>
      </c>
      <c r="G52" s="407">
        <v>200</v>
      </c>
      <c r="H52" s="389"/>
      <c r="I52" s="370"/>
      <c r="J52" s="443"/>
      <c r="K52" s="443"/>
      <c r="L52" s="10"/>
      <c r="M52" s="133"/>
      <c r="N52" s="10"/>
    </row>
    <row r="53" spans="1:14" ht="15" thickBot="1">
      <c r="A53" s="37"/>
      <c r="B53" s="12"/>
      <c r="C53" s="20" t="s">
        <v>69</v>
      </c>
      <c r="D53" s="52" t="s">
        <v>264</v>
      </c>
      <c r="E53" s="382" t="s">
        <v>12</v>
      </c>
      <c r="F53" s="387">
        <v>1</v>
      </c>
      <c r="G53" s="388">
        <v>22</v>
      </c>
      <c r="H53" s="389"/>
      <c r="I53" s="366"/>
      <c r="J53" s="443"/>
      <c r="K53" s="443"/>
      <c r="L53" s="10"/>
      <c r="M53" s="10"/>
      <c r="N53" s="10"/>
    </row>
    <row r="54" spans="1:14" ht="15" thickBot="1">
      <c r="A54" s="37"/>
      <c r="B54" s="12"/>
      <c r="C54" s="454" t="s">
        <v>66</v>
      </c>
      <c r="D54" s="40" t="s">
        <v>21</v>
      </c>
      <c r="E54" s="399" t="s">
        <v>12</v>
      </c>
      <c r="F54" s="387">
        <v>1</v>
      </c>
      <c r="G54" s="388">
        <v>0</v>
      </c>
      <c r="H54" s="389"/>
      <c r="I54" s="366"/>
      <c r="J54" s="443"/>
      <c r="K54" s="443"/>
      <c r="L54" s="10"/>
      <c r="M54" s="10"/>
      <c r="N54" s="10"/>
    </row>
    <row r="55" spans="1:14" ht="15" thickBot="1">
      <c r="A55" s="37"/>
      <c r="B55" s="12"/>
      <c r="C55" s="53"/>
      <c r="D55" s="53"/>
      <c r="E55" s="400"/>
      <c r="F55" s="401" t="s">
        <v>86</v>
      </c>
      <c r="G55" s="402">
        <f>SUMPRODUCT(TCO_INPUTS!F51:F54,TCO_INPUTS!G51:G54)</f>
        <v>223</v>
      </c>
      <c r="H55" s="398"/>
      <c r="I55" s="366"/>
      <c r="J55" s="443"/>
      <c r="K55" s="443"/>
      <c r="L55" s="10"/>
      <c r="M55" s="10"/>
      <c r="N55" s="10"/>
    </row>
    <row r="56" spans="1:14" ht="15" thickBot="1">
      <c r="A56" s="37"/>
      <c r="B56" s="12"/>
      <c r="C56" s="436" t="s">
        <v>147</v>
      </c>
      <c r="D56" s="54" t="s">
        <v>247</v>
      </c>
      <c r="E56" s="403"/>
      <c r="F56" s="404"/>
      <c r="G56" s="405"/>
      <c r="H56" s="398"/>
      <c r="I56" s="366"/>
      <c r="J56" s="443"/>
      <c r="K56" s="443"/>
      <c r="L56" s="10"/>
      <c r="M56" s="10"/>
      <c r="N56" s="10"/>
    </row>
    <row r="57" spans="1:14" ht="15" thickBot="1">
      <c r="A57" s="37"/>
      <c r="B57" s="12"/>
      <c r="C57" s="437" t="s">
        <v>84</v>
      </c>
      <c r="D57" s="52" t="s">
        <v>265</v>
      </c>
      <c r="E57" s="382" t="s">
        <v>12</v>
      </c>
      <c r="F57" s="387"/>
      <c r="G57" s="388"/>
      <c r="H57" s="381"/>
      <c r="I57" s="366"/>
      <c r="J57" s="443"/>
      <c r="K57" s="443"/>
      <c r="L57" s="10"/>
      <c r="M57" s="10"/>
      <c r="N57" s="10"/>
    </row>
    <row r="58" spans="1:14" ht="15" thickBot="1">
      <c r="A58" s="37"/>
      <c r="B58" s="12"/>
      <c r="C58" s="437" t="s">
        <v>87</v>
      </c>
      <c r="D58" s="52" t="s">
        <v>263</v>
      </c>
      <c r="E58" s="382" t="s">
        <v>12</v>
      </c>
      <c r="F58" s="387"/>
      <c r="G58" s="388"/>
      <c r="H58" s="389"/>
      <c r="I58" s="370"/>
      <c r="J58" s="443"/>
      <c r="K58" s="443"/>
      <c r="L58" s="10"/>
      <c r="M58" s="133"/>
      <c r="N58" s="10"/>
    </row>
    <row r="59" spans="1:14" ht="15" thickBot="1">
      <c r="A59" s="37"/>
      <c r="B59" s="12"/>
      <c r="C59" s="453" t="s">
        <v>69</v>
      </c>
      <c r="D59" s="52" t="s">
        <v>264</v>
      </c>
      <c r="E59" s="382" t="s">
        <v>12</v>
      </c>
      <c r="F59" s="387"/>
      <c r="G59" s="388"/>
      <c r="H59" s="389"/>
      <c r="I59" s="366"/>
      <c r="J59" s="443"/>
      <c r="K59" s="443"/>
      <c r="L59" s="10"/>
      <c r="M59" s="10"/>
      <c r="N59" s="10"/>
    </row>
    <row r="60" spans="1:14" ht="15" thickBot="1">
      <c r="A60" s="37"/>
      <c r="B60" s="12"/>
      <c r="C60" s="454" t="s">
        <v>66</v>
      </c>
      <c r="D60" s="40" t="s">
        <v>21</v>
      </c>
      <c r="E60" s="399" t="s">
        <v>12</v>
      </c>
      <c r="F60" s="387"/>
      <c r="G60" s="388">
        <v>0</v>
      </c>
      <c r="H60" s="389"/>
      <c r="I60" s="366"/>
      <c r="J60" s="443"/>
      <c r="K60" s="443"/>
      <c r="L60" s="10"/>
      <c r="M60" s="10"/>
      <c r="N60" s="10"/>
    </row>
    <row r="61" spans="1:14" ht="15" thickBot="1">
      <c r="A61" s="37"/>
      <c r="B61" s="12"/>
      <c r="C61" s="53"/>
      <c r="D61" s="53"/>
      <c r="E61" s="400"/>
      <c r="F61" s="401" t="s">
        <v>86</v>
      </c>
      <c r="G61" s="402">
        <f>SUMPRODUCT(TCO_INPUTS!F57:F60,TCO_INPUTS!G57:G60)</f>
        <v>0</v>
      </c>
      <c r="H61" s="398"/>
      <c r="I61" s="366"/>
      <c r="J61" s="443"/>
      <c r="K61" s="443"/>
      <c r="L61" s="10"/>
      <c r="M61" s="10"/>
      <c r="N61" s="10"/>
    </row>
    <row r="62" spans="1:14" ht="15" thickBot="1">
      <c r="A62" s="37"/>
      <c r="B62" s="12"/>
      <c r="C62" s="54" t="s">
        <v>176</v>
      </c>
      <c r="D62" s="54" t="s">
        <v>278</v>
      </c>
      <c r="E62" s="403"/>
      <c r="F62" s="404"/>
      <c r="G62" s="405"/>
      <c r="H62" s="398"/>
      <c r="I62" s="366"/>
      <c r="J62" s="443"/>
      <c r="K62" s="443"/>
      <c r="L62" s="10"/>
      <c r="M62" s="10"/>
      <c r="N62" s="10"/>
    </row>
    <row r="63" spans="1:14" ht="15" thickBot="1">
      <c r="A63" s="37"/>
      <c r="B63" s="12"/>
      <c r="C63" s="52" t="s">
        <v>73</v>
      </c>
      <c r="D63" s="52" t="s">
        <v>24</v>
      </c>
      <c r="E63" s="386" t="s">
        <v>12</v>
      </c>
      <c r="F63" s="387">
        <v>1</v>
      </c>
      <c r="G63" s="388">
        <v>25</v>
      </c>
      <c r="H63" s="381"/>
      <c r="I63" s="366"/>
      <c r="J63" s="443"/>
      <c r="K63" s="443"/>
      <c r="L63" s="10"/>
      <c r="M63" s="10"/>
      <c r="N63" s="10"/>
    </row>
    <row r="64" spans="1:14" ht="29" thickBot="1">
      <c r="A64" s="14"/>
      <c r="C64" s="52" t="s">
        <v>181</v>
      </c>
      <c r="D64" s="52" t="s">
        <v>266</v>
      </c>
      <c r="E64" s="382" t="s">
        <v>12</v>
      </c>
      <c r="F64" s="387">
        <v>1</v>
      </c>
      <c r="G64" s="388">
        <v>0</v>
      </c>
      <c r="H64" s="377"/>
      <c r="I64" s="366"/>
      <c r="J64" s="443"/>
      <c r="K64" s="443"/>
      <c r="N64" s="10"/>
    </row>
    <row r="65" spans="1:14" ht="15" thickBot="1">
      <c r="A65" s="37"/>
      <c r="B65" s="12"/>
      <c r="C65" s="454" t="s">
        <v>66</v>
      </c>
      <c r="D65" s="40" t="s">
        <v>21</v>
      </c>
      <c r="E65" s="399" t="s">
        <v>12</v>
      </c>
      <c r="F65" s="387">
        <v>1</v>
      </c>
      <c r="G65" s="388">
        <v>0</v>
      </c>
      <c r="H65" s="398"/>
      <c r="I65" s="366"/>
      <c r="J65" s="443"/>
      <c r="K65" s="443"/>
      <c r="N65" s="10"/>
    </row>
    <row r="66" spans="1:14" ht="15" thickBot="1">
      <c r="A66" s="37"/>
      <c r="B66" s="12"/>
      <c r="C66" s="20"/>
      <c r="D66" s="20"/>
      <c r="E66" s="382"/>
      <c r="F66" s="408" t="s">
        <v>86</v>
      </c>
      <c r="G66" s="402">
        <f>SUMPRODUCT(TCO_INPUTS!F63:F65,TCO_INPUTS!G63:G65)</f>
        <v>25</v>
      </c>
      <c r="H66" s="398"/>
      <c r="I66" s="366"/>
      <c r="J66" s="450"/>
      <c r="K66" s="451"/>
      <c r="N66" s="10"/>
    </row>
    <row r="67" spans="1:14" s="189" customFormat="1" ht="15" thickBot="1">
      <c r="A67" s="186"/>
      <c r="B67" s="187"/>
      <c r="C67" s="188"/>
      <c r="D67" s="188"/>
      <c r="E67" s="409"/>
      <c r="F67" s="410"/>
      <c r="G67" s="411"/>
      <c r="H67" s="412"/>
      <c r="I67" s="413"/>
      <c r="J67" s="447"/>
      <c r="K67" s="452"/>
      <c r="N67" s="190"/>
    </row>
    <row r="68" spans="1:14" ht="15" thickBot="1">
      <c r="A68" s="37"/>
      <c r="B68" s="12"/>
      <c r="C68" s="27" t="s">
        <v>185</v>
      </c>
      <c r="D68" s="27" t="s">
        <v>25</v>
      </c>
      <c r="E68" s="414"/>
      <c r="F68" s="414"/>
      <c r="G68" s="415"/>
      <c r="H68" s="377"/>
      <c r="I68" s="366"/>
      <c r="J68" s="443"/>
      <c r="K68" s="443"/>
      <c r="N68" s="10"/>
    </row>
    <row r="69" spans="1:14" ht="15" thickBot="1">
      <c r="A69" s="37"/>
      <c r="B69" s="12"/>
      <c r="C69" s="32" t="s">
        <v>216</v>
      </c>
      <c r="D69" s="32" t="s">
        <v>267</v>
      </c>
      <c r="E69" s="386" t="s">
        <v>11</v>
      </c>
      <c r="F69" s="416">
        <v>0.15</v>
      </c>
      <c r="G69" s="417"/>
      <c r="H69" s="377"/>
      <c r="I69" s="366"/>
      <c r="J69" s="443"/>
      <c r="K69" s="443"/>
      <c r="N69" s="10"/>
    </row>
    <row r="70" spans="1:14" ht="15" thickBot="1">
      <c r="A70" s="37"/>
      <c r="B70" s="12"/>
      <c r="C70" s="32" t="s">
        <v>215</v>
      </c>
      <c r="D70" s="32" t="s">
        <v>268</v>
      </c>
      <c r="E70" s="386" t="s">
        <v>11</v>
      </c>
      <c r="F70" s="416">
        <v>0.1</v>
      </c>
      <c r="G70" s="417"/>
      <c r="H70" s="389"/>
      <c r="I70" s="418"/>
      <c r="J70" s="443"/>
      <c r="K70" s="443"/>
      <c r="N70" s="10"/>
    </row>
    <row r="71" spans="1:14" ht="15" thickBot="1">
      <c r="A71" s="37"/>
      <c r="B71" s="12"/>
      <c r="C71" s="52" t="s">
        <v>75</v>
      </c>
      <c r="D71" s="52" t="s">
        <v>269</v>
      </c>
      <c r="E71" s="386" t="s">
        <v>210</v>
      </c>
      <c r="F71" s="419"/>
      <c r="G71" s="388">
        <f>80+10+5</f>
        <v>95</v>
      </c>
      <c r="H71" s="389"/>
      <c r="I71" s="370"/>
      <c r="J71" s="443"/>
      <c r="K71" s="443"/>
      <c r="N71" s="10"/>
    </row>
    <row r="72" spans="1:14" ht="15" thickBot="1">
      <c r="A72" s="37"/>
      <c r="B72" s="12"/>
      <c r="C72" s="52" t="s">
        <v>34</v>
      </c>
      <c r="D72" s="52" t="s">
        <v>270</v>
      </c>
      <c r="E72" s="386" t="s">
        <v>88</v>
      </c>
      <c r="F72" s="420">
        <v>1</v>
      </c>
      <c r="G72" s="421">
        <v>200</v>
      </c>
      <c r="H72" s="377"/>
      <c r="I72" s="366"/>
      <c r="J72" s="450"/>
      <c r="K72" s="443"/>
      <c r="N72" s="10"/>
    </row>
    <row r="73" spans="1:14" ht="15" thickBot="1">
      <c r="A73" s="37"/>
      <c r="B73" s="12"/>
      <c r="C73" s="52" t="s">
        <v>183</v>
      </c>
      <c r="D73" s="52" t="s">
        <v>93</v>
      </c>
      <c r="E73" s="386" t="s">
        <v>207</v>
      </c>
      <c r="F73" s="420">
        <v>0</v>
      </c>
      <c r="G73" s="421">
        <v>250</v>
      </c>
      <c r="H73" s="377"/>
      <c r="I73" s="366"/>
      <c r="J73" s="443"/>
      <c r="K73" s="443"/>
      <c r="L73" s="10"/>
      <c r="M73" s="10"/>
      <c r="N73" s="10"/>
    </row>
    <row r="74" spans="1:14" ht="15" thickBot="1">
      <c r="A74" s="37"/>
      <c r="B74" s="12"/>
      <c r="C74" s="52" t="s">
        <v>184</v>
      </c>
      <c r="D74" s="52" t="s">
        <v>92</v>
      </c>
      <c r="E74" s="386" t="s">
        <v>208</v>
      </c>
      <c r="F74" s="420">
        <v>0</v>
      </c>
      <c r="G74" s="421">
        <v>250</v>
      </c>
      <c r="H74" s="377"/>
      <c r="I74" s="418"/>
      <c r="J74" s="443"/>
      <c r="K74" s="443"/>
      <c r="L74" s="10"/>
      <c r="M74" s="10"/>
      <c r="N74" s="10"/>
    </row>
    <row r="75" spans="1:14" ht="15" thickBot="1">
      <c r="A75" s="37"/>
      <c r="B75" s="12"/>
      <c r="C75" s="437" t="s">
        <v>182</v>
      </c>
      <c r="D75" s="52" t="s">
        <v>271</v>
      </c>
      <c r="E75" s="386" t="s">
        <v>209</v>
      </c>
      <c r="F75" s="420">
        <v>0</v>
      </c>
      <c r="G75" s="421">
        <v>250</v>
      </c>
      <c r="H75" s="377"/>
      <c r="I75" s="418"/>
      <c r="J75" s="443"/>
      <c r="K75" s="443"/>
      <c r="L75" s="10"/>
      <c r="M75" s="10"/>
      <c r="N75" s="10"/>
    </row>
    <row r="76" spans="1:14" ht="15" thickBot="1">
      <c r="A76" s="37"/>
      <c r="B76" s="12"/>
      <c r="C76" s="17" t="s">
        <v>222</v>
      </c>
      <c r="D76" s="17" t="s">
        <v>272</v>
      </c>
      <c r="E76" s="382"/>
      <c r="F76" s="383"/>
      <c r="G76" s="384"/>
      <c r="H76" s="381"/>
      <c r="I76" s="366"/>
      <c r="J76" s="443"/>
      <c r="K76" s="443"/>
      <c r="L76" s="10"/>
      <c r="M76" s="10"/>
      <c r="N76" s="10"/>
    </row>
    <row r="77" spans="1:14" ht="15" thickBot="1">
      <c r="A77" s="37"/>
      <c r="B77" s="12"/>
      <c r="C77" s="20" t="s">
        <v>76</v>
      </c>
      <c r="D77" s="20" t="s">
        <v>273</v>
      </c>
      <c r="E77" s="422" t="s">
        <v>211</v>
      </c>
      <c r="F77" s="387">
        <v>1</v>
      </c>
      <c r="G77" s="388">
        <v>66</v>
      </c>
      <c r="H77" s="377"/>
      <c r="I77" s="366"/>
      <c r="J77" s="443"/>
      <c r="K77" s="443"/>
      <c r="L77" s="10"/>
      <c r="M77" s="10"/>
      <c r="N77" s="10"/>
    </row>
    <row r="78" spans="1:14" ht="15" thickBot="1">
      <c r="A78" s="37"/>
      <c r="B78" s="12"/>
      <c r="C78" s="20" t="s">
        <v>186</v>
      </c>
      <c r="D78" s="20" t="s">
        <v>274</v>
      </c>
      <c r="E78" s="422" t="s">
        <v>211</v>
      </c>
      <c r="F78" s="387">
        <v>1</v>
      </c>
      <c r="G78" s="388">
        <v>132</v>
      </c>
      <c r="H78" s="377"/>
      <c r="I78" s="366"/>
      <c r="J78" s="443"/>
      <c r="K78" s="443"/>
      <c r="L78" s="10"/>
      <c r="M78" s="10"/>
      <c r="N78" s="10"/>
    </row>
    <row r="79" spans="1:14" ht="15" thickBot="1">
      <c r="A79" s="16"/>
      <c r="B79" s="12"/>
      <c r="C79" s="57"/>
      <c r="D79" s="57"/>
      <c r="E79" s="423"/>
      <c r="F79" s="424" t="s">
        <v>26</v>
      </c>
      <c r="G79" s="402">
        <f>SUMPRODUCT(TCO_INPUTS!F77:F78,TCO_INPUTS!G77:G78)</f>
        <v>198</v>
      </c>
      <c r="H79" s="377"/>
      <c r="I79" s="366"/>
      <c r="J79" s="443"/>
      <c r="K79" s="443"/>
      <c r="L79" s="10"/>
      <c r="M79" s="10"/>
      <c r="N79" s="10"/>
    </row>
    <row r="80" spans="1:14">
      <c r="A80" s="14"/>
      <c r="C80" s="14"/>
      <c r="D80" s="14"/>
      <c r="E80" s="425"/>
      <c r="F80" s="426"/>
      <c r="G80" s="427"/>
      <c r="H80" s="381"/>
      <c r="I80" s="377"/>
      <c r="L80" s="10"/>
      <c r="M80" s="10"/>
      <c r="N80" s="10"/>
    </row>
    <row r="81" spans="1:14" ht="14" hidden="1" customHeight="1">
      <c r="A81" s="14"/>
      <c r="C81" s="196" t="s">
        <v>125</v>
      </c>
      <c r="D81" s="14"/>
      <c r="E81" s="465">
        <f>ROUND(IF($F$18&gt;0,(E11+$E$16*E11/$F$16+$E$17*E11/$F$17+$E$18*E11/$F$18),IF($F$17&gt;0,(E11+$E$16*E11/$F$16+$E$17*E11/$F$17),IF($F$16&gt;0,(E11+$E$16*E11/$F$16),E11))),0)</f>
        <v>101</v>
      </c>
      <c r="F81" s="465">
        <f>ROUND(IF($F$18&gt;0,(F11+$E$16*F11/$F$16+$E$17*F11/$F$17+$E$18*F11/$F$18),IF($F$17&gt;0,(F11+$E$16*F11/$F$16+$E$17*F11/$F$17),IF($F$16&gt;0,(F11+$E$16*F11/$F$16),F11))),0)</f>
        <v>201</v>
      </c>
      <c r="G81" s="465">
        <f>ROUND(IF($F$18&gt;0,(G11+$E$16*G11/$F$16+$E$17*G11/$F$17+$E$18*G11/$F$18),IF($F$17&gt;0,(G11+$E$16*G11/$F$16+$E$17*G11/$F$17),IF($F$16&gt;0,(G11+$E$16*G11/$F$16),G11))),0)</f>
        <v>503</v>
      </c>
      <c r="H81" s="465">
        <f>ROUND(IF($F$18&gt;0,(H11+$E$16*H11/$F$16+$E$17*H11/$F$17+$E$18*H11/$F$18),IF($F$17&gt;0,(H11+$E$16*H11/$F$16+$E$17*H11/$F$17),IF($F$16&gt;0,(H11+$E$16*H11/$F$16),H11))),0)</f>
        <v>1006</v>
      </c>
      <c r="I81" s="465">
        <f>ROUND(IF($F$18&gt;0,(I11+$E$16*I11/$F$16+$E$17*I11/$F$17+$E$18*I11/$F$18),IF($F$17&gt;0,(I11+$E$16*I11/$F$16+$E$17*I11/$F$17),IF($F$16&gt;0,(I11+$E$16*I11/$F$16),I11))),0)</f>
        <v>2515</v>
      </c>
      <c r="L81" s="10"/>
      <c r="M81" s="10"/>
      <c r="N81" s="10"/>
    </row>
    <row r="82" spans="1:14" ht="14" hidden="1" customHeight="1">
      <c r="A82" s="14"/>
      <c r="C82" s="196" t="s">
        <v>279</v>
      </c>
      <c r="D82" s="14"/>
      <c r="E82" s="465">
        <f>IF(E13="Community",10,IF(E13="Standard",50,IF(E13="PRO",250,IF(E13="Advanced",500,IF(E13="Enterprise",2000)))))</f>
        <v>50</v>
      </c>
      <c r="F82" s="465">
        <f t="shared" ref="F82:I82" si="0">IF(F13="Community",10,IF(F13="Standard",50,IF(F13="PRO",250,IF(F13="Advanced",500,IF(F13="Enterprise",2000)))))</f>
        <v>250</v>
      </c>
      <c r="G82" s="465">
        <f t="shared" si="0"/>
        <v>250</v>
      </c>
      <c r="H82" s="465">
        <f t="shared" si="0"/>
        <v>500</v>
      </c>
      <c r="I82" s="465">
        <f t="shared" si="0"/>
        <v>2000</v>
      </c>
      <c r="L82" s="10"/>
      <c r="M82" s="10"/>
      <c r="N82" s="10"/>
    </row>
    <row r="83" spans="1:14" ht="13" customHeight="1" thickBot="1">
      <c r="A83" s="14"/>
      <c r="C83" s="14"/>
      <c r="D83" s="14"/>
      <c r="E83" s="425"/>
      <c r="F83" s="426"/>
      <c r="G83" s="427"/>
      <c r="H83" s="381"/>
      <c r="I83" s="377"/>
      <c r="L83" s="10"/>
      <c r="M83" s="10"/>
      <c r="N83" s="10"/>
    </row>
    <row r="84" spans="1:14" s="12" customFormat="1" ht="15">
      <c r="A84" s="11"/>
      <c r="C84" s="185" t="s">
        <v>115</v>
      </c>
      <c r="D84" s="185" t="s">
        <v>17</v>
      </c>
      <c r="E84" s="428" t="s">
        <v>1</v>
      </c>
      <c r="F84" s="428" t="s">
        <v>2</v>
      </c>
      <c r="G84" s="428" t="s">
        <v>3</v>
      </c>
      <c r="H84" s="428" t="s">
        <v>4</v>
      </c>
      <c r="I84" s="429" t="s">
        <v>5</v>
      </c>
      <c r="L84" s="10"/>
      <c r="M84" s="10"/>
      <c r="N84" s="10"/>
    </row>
    <row r="85" spans="1:14" s="12" customFormat="1" ht="29" thickBot="1">
      <c r="A85" s="11"/>
      <c r="C85" s="476" t="s">
        <v>284</v>
      </c>
      <c r="D85" s="441" t="s">
        <v>275</v>
      </c>
      <c r="E85" s="455">
        <f>IF(E13="Community",0,IF(E13="Standard",250,IF(E13="PRO",500,IF(E13="Advanced",1000,IF(E13="Enterprise",2000)))))</f>
        <v>250</v>
      </c>
      <c r="F85" s="455">
        <f>IF(F13="Community",0,IF(F13="Standard",250,IF(F13="PRO",500,IF(F13="Advanced",1000,IF(F13="Enterprise",2000)))))</f>
        <v>500</v>
      </c>
      <c r="G85" s="455">
        <f>IF(G13="Community",0,IF(G13="Standard",250,IF(G13="PRO",500,IF(G13="Advanced",1000,IF(G13="Enterprise",2000)))))</f>
        <v>500</v>
      </c>
      <c r="H85" s="455">
        <f>IF(H13="Community",0,IF(H13="Standard",250,IF(H13="PRO",500,IF(H13="Advanced",1000,IF(H13="Enterprise",2000)))))</f>
        <v>1000</v>
      </c>
      <c r="I85" s="455">
        <f>IF(I13="Community",0,IF(I13="Standard",250,IF(I13="PRO",500,IF(I13="Advanced",1000,IF(I13="Enterprise",2000)))))</f>
        <v>2000</v>
      </c>
      <c r="K85" s="195"/>
      <c r="L85" s="10"/>
      <c r="M85" s="10"/>
      <c r="N85" s="10"/>
    </row>
    <row r="86" spans="1:14" s="12" customFormat="1" ht="15" thickBot="1">
      <c r="A86" s="11"/>
      <c r="C86" s="22" t="s">
        <v>280</v>
      </c>
      <c r="D86" s="441" t="s">
        <v>276</v>
      </c>
      <c r="E86" s="455">
        <f>IF(E81&lt;=E82,0,IF(E13="Enterprise",CEILING((E81-E82)/1000,1)*250,(E81-E82)*2))</f>
        <v>102</v>
      </c>
      <c r="F86" s="455">
        <f>IF(F81&lt;=F82,0,IF(F13="Enterprise",CEILING((F81-F82)/1000,1)*250,(F81-F82)*2))</f>
        <v>0</v>
      </c>
      <c r="G86" s="455">
        <f>IF(G81&lt;=G82,0,IF(G13="Enterprise",CEILING((G81-G82)/1000,1)*250,(G81-G82)*2))</f>
        <v>506</v>
      </c>
      <c r="H86" s="455">
        <f>IF(H81&lt;=H82,0,IF(H13="Enterprise",CEILING((H81-H82)/1000,1)*250,(H81-H82)*2))</f>
        <v>1012</v>
      </c>
      <c r="I86" s="455">
        <f>IF(I81&lt;=I82,0,IF(I13="Enterprise",CEILING((I81-I82)/1000,1)*250,(I81-I82)*2))</f>
        <v>250</v>
      </c>
      <c r="L86" s="10"/>
      <c r="M86" s="10"/>
      <c r="N86" s="10"/>
    </row>
    <row r="87" spans="1:14" ht="15" thickBot="1">
      <c r="C87" s="197" t="s">
        <v>126</v>
      </c>
      <c r="D87" s="441" t="s">
        <v>277</v>
      </c>
      <c r="E87" s="455">
        <f>E85+E86</f>
        <v>352</v>
      </c>
      <c r="F87" s="455">
        <f>F85+F86</f>
        <v>500</v>
      </c>
      <c r="G87" s="455">
        <f t="shared" ref="G87:I87" si="1">G85+G86</f>
        <v>1006</v>
      </c>
      <c r="H87" s="455">
        <f t="shared" si="1"/>
        <v>2012</v>
      </c>
      <c r="I87" s="455">
        <f t="shared" si="1"/>
        <v>2250</v>
      </c>
      <c r="L87" s="10"/>
      <c r="M87" s="10"/>
      <c r="N87" s="10"/>
    </row>
    <row r="88" spans="1:14">
      <c r="L88" s="10"/>
      <c r="M88" s="10"/>
      <c r="N88" s="10"/>
    </row>
    <row r="89" spans="1:14">
      <c r="L89" s="10"/>
      <c r="M89" s="10"/>
      <c r="N89" s="10"/>
    </row>
    <row r="90" spans="1:14">
      <c r="L90" s="10"/>
      <c r="M90" s="10"/>
      <c r="N90" s="10"/>
    </row>
    <row r="91" spans="1:14">
      <c r="L91" s="10"/>
      <c r="M91" s="10"/>
      <c r="N91" s="10"/>
    </row>
    <row r="92" spans="1:14">
      <c r="L92" s="10"/>
      <c r="M92" s="10"/>
      <c r="N92" s="10"/>
    </row>
    <row r="93" spans="1:14">
      <c r="L93" s="10"/>
      <c r="M93" s="10"/>
      <c r="N93" s="10"/>
    </row>
    <row r="94" spans="1:14">
      <c r="L94" s="10"/>
      <c r="M94" s="10"/>
      <c r="N94" s="10"/>
    </row>
    <row r="95" spans="1:14">
      <c r="L95" s="10"/>
      <c r="M95" s="10"/>
      <c r="N95" s="10"/>
    </row>
    <row r="96" spans="1:14">
      <c r="L96" s="10"/>
      <c r="M96" s="10"/>
      <c r="N96" s="10"/>
    </row>
  </sheetData>
  <mergeCells count="1">
    <mergeCell ref="L15:N18"/>
  </mergeCells>
  <phoneticPr fontId="37" type="noConversion"/>
  <dataValidations count="1">
    <dataValidation type="list" allowBlank="1" showInputMessage="1" showErrorMessage="1" sqref="E13:I13">
      <formula1>$E$1:$E$5</formula1>
    </dataValidation>
  </dataValidations>
  <pageMargins left="0.7" right="0.7" top="0.75" bottom="0.75" header="0.3" footer="0.3"/>
  <pageSetup scale="44" fitToHeight="4" orientation="portrait"/>
  <drawing r:id="rId1"/>
  <legacy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AE60"/>
  <sheetViews>
    <sheetView showGridLines="0" workbookViewId="0">
      <selection activeCell="G6" sqref="G6"/>
    </sheetView>
  </sheetViews>
  <sheetFormatPr baseColWidth="10" defaultColWidth="9.1640625" defaultRowHeight="14" outlineLevelCol="2" x14ac:dyDescent="0"/>
  <cols>
    <col min="1" max="1" width="1.6640625" style="3" customWidth="1"/>
    <col min="2" max="2" width="34.5" style="3" customWidth="1" outlineLevel="1"/>
    <col min="3" max="3" width="34.5" style="3" hidden="1" customWidth="1" outlineLevel="2"/>
    <col min="4" max="4" width="13.83203125" style="3" customWidth="1" outlineLevel="1" collapsed="1"/>
    <col min="5" max="5" width="6.6640625" style="3" customWidth="1" outlineLevel="1"/>
    <col min="6" max="6" width="34" style="3" customWidth="1" outlineLevel="1"/>
    <col min="7" max="7" width="34" style="3" hidden="1" customWidth="1" outlineLevel="2"/>
    <col min="8" max="8" width="11.6640625" style="3" customWidth="1" outlineLevel="1" collapsed="1"/>
    <col min="9" max="9" width="11.5" style="3" customWidth="1" outlineLevel="1"/>
    <col min="10" max="10" width="11.83203125" style="3" customWidth="1" outlineLevel="1"/>
    <col min="11" max="12" width="12.6640625" style="3" customWidth="1" outlineLevel="1"/>
    <col min="13" max="13" width="6.6640625" style="3" customWidth="1"/>
    <col min="14" max="14" width="36.1640625" style="3" customWidth="1"/>
    <col min="15" max="19" width="11.5" style="3" customWidth="1"/>
    <col min="20" max="20" width="13.6640625" style="3" customWidth="1"/>
    <col min="21" max="21" width="8.33203125" style="3" customWidth="1"/>
    <col min="22" max="22" width="6.5" style="3" customWidth="1"/>
    <col min="23" max="23" width="10.1640625" style="3" bestFit="1" customWidth="1"/>
    <col min="24" max="25" width="10.5" style="3" bestFit="1" customWidth="1"/>
    <col min="26" max="26" width="10.1640625" style="3" bestFit="1" customWidth="1"/>
    <col min="27" max="27" width="10.5" style="3" bestFit="1" customWidth="1"/>
    <col min="28" max="28" width="13" style="3" bestFit="1" customWidth="1"/>
    <col min="29" max="29" width="7.6640625" style="3" bestFit="1" customWidth="1"/>
    <col min="30" max="16384" width="9.1640625" style="3"/>
  </cols>
  <sheetData>
    <row r="1" spans="1:12" s="1" customFormat="1">
      <c r="A1" s="28"/>
      <c r="E1" s="62" t="s">
        <v>38</v>
      </c>
      <c r="F1" s="29"/>
      <c r="G1" s="29"/>
      <c r="H1" s="29"/>
      <c r="I1" s="30"/>
      <c r="J1" s="30"/>
      <c r="K1" s="29"/>
      <c r="L1" s="29"/>
    </row>
    <row r="2" spans="1:12" s="1" customFormat="1">
      <c r="A2" s="31"/>
      <c r="E2" s="63" t="s">
        <v>38</v>
      </c>
      <c r="F2" s="2"/>
      <c r="G2" s="2"/>
      <c r="H2" s="2"/>
      <c r="I2" s="26"/>
      <c r="J2" s="26"/>
      <c r="K2" s="2"/>
      <c r="L2" s="2"/>
    </row>
    <row r="3" spans="1:12" s="1" customFormat="1">
      <c r="A3" s="44"/>
      <c r="B3" s="42"/>
      <c r="C3" s="42"/>
      <c r="D3" s="42"/>
      <c r="E3" s="64" t="s">
        <v>38</v>
      </c>
      <c r="F3" s="42"/>
      <c r="G3" s="42"/>
      <c r="H3" s="42"/>
      <c r="I3" s="42"/>
      <c r="J3" s="43"/>
      <c r="K3" s="42"/>
      <c r="L3" s="42"/>
    </row>
    <row r="4" spans="1:12" s="1" customFormat="1">
      <c r="A4" s="31"/>
      <c r="B4" s="72"/>
      <c r="C4" s="72"/>
      <c r="D4" s="72"/>
      <c r="E4" s="67" t="s">
        <v>38</v>
      </c>
      <c r="F4" s="2"/>
      <c r="G4" s="2"/>
      <c r="H4" s="2"/>
      <c r="I4" s="2"/>
      <c r="J4" s="2"/>
      <c r="K4" s="2"/>
      <c r="L4" s="2"/>
    </row>
    <row r="5" spans="1:12" ht="14.25" customHeight="1">
      <c r="B5" s="180" t="s">
        <v>49</v>
      </c>
      <c r="C5" s="59"/>
      <c r="E5" s="65" t="s">
        <v>38</v>
      </c>
      <c r="F5" s="180" t="s">
        <v>39</v>
      </c>
      <c r="G5" s="59"/>
      <c r="H5" s="12"/>
      <c r="I5" s="12"/>
      <c r="J5" s="12"/>
      <c r="K5" s="12"/>
      <c r="L5" s="12"/>
    </row>
    <row r="6" spans="1:12" ht="8" customHeight="1">
      <c r="A6" s="11"/>
      <c r="C6" s="112"/>
      <c r="E6" s="65" t="s">
        <v>38</v>
      </c>
      <c r="F6" s="12"/>
      <c r="G6" s="112"/>
      <c r="H6" s="12"/>
      <c r="I6" s="12"/>
      <c r="J6" s="12"/>
      <c r="K6" s="12"/>
      <c r="L6" s="12"/>
    </row>
    <row r="7" spans="1:12" ht="42">
      <c r="A7" s="11"/>
      <c r="B7" s="478" t="s">
        <v>44</v>
      </c>
      <c r="C7" s="479"/>
      <c r="D7" s="480"/>
      <c r="E7" s="74" t="s">
        <v>40</v>
      </c>
      <c r="F7" s="79" t="s">
        <v>44</v>
      </c>
      <c r="G7" s="116"/>
      <c r="H7" s="91" t="str">
        <f>TCO_INPUTS!E10</f>
        <v>Year 1</v>
      </c>
      <c r="I7" s="91" t="str">
        <f>TCO_INPUTS!F10</f>
        <v>Year 2</v>
      </c>
      <c r="J7" s="91" t="str">
        <f>TCO_INPUTS!G10</f>
        <v>Year 3</v>
      </c>
      <c r="K7" s="91" t="str">
        <f>TCO_INPUTS!H10</f>
        <v>Year 4</v>
      </c>
      <c r="L7" s="91" t="str">
        <f>TCO_INPUTS!I10</f>
        <v>Year 5</v>
      </c>
    </row>
    <row r="8" spans="1:12">
      <c r="A8" s="11"/>
      <c r="B8" s="80" t="s">
        <v>0</v>
      </c>
      <c r="C8" s="113" t="str">
        <f>TCO_INPUTS!D38</f>
        <v>Costos de Operación por Mes</v>
      </c>
      <c r="D8" s="81"/>
      <c r="E8" s="65" t="s">
        <v>38</v>
      </c>
      <c r="F8" s="87" t="s">
        <v>202</v>
      </c>
      <c r="G8" s="117"/>
      <c r="H8" s="48"/>
      <c r="I8" s="48"/>
      <c r="J8" s="48"/>
      <c r="K8" s="48"/>
      <c r="L8" s="88"/>
    </row>
    <row r="9" spans="1:12">
      <c r="A9" s="11"/>
      <c r="B9" s="82" t="s">
        <v>98</v>
      </c>
      <c r="C9" s="114" t="str">
        <f>TCO_INPUTS!D39</f>
        <v>Por Promotor/a de Salud</v>
      </c>
      <c r="D9" s="83">
        <f>12*TCO_INPUTS!$G43</f>
        <v>12</v>
      </c>
      <c r="E9" s="65" t="s">
        <v>38</v>
      </c>
      <c r="F9" s="89" t="s">
        <v>99</v>
      </c>
      <c r="G9" s="119"/>
      <c r="H9" s="108">
        <f>TCO_INPUTS!E11</f>
        <v>100</v>
      </c>
      <c r="I9" s="108">
        <f>TCO_INPUTS!F11</f>
        <v>200</v>
      </c>
      <c r="J9" s="108">
        <f>TCO_INPUTS!G11</f>
        <v>500</v>
      </c>
      <c r="K9" s="108">
        <f>TCO_INPUTS!H11</f>
        <v>1000</v>
      </c>
      <c r="L9" s="107">
        <f>TCO_INPUTS!I11</f>
        <v>2500</v>
      </c>
    </row>
    <row r="10" spans="1:12">
      <c r="A10" s="11"/>
      <c r="B10" s="82" t="s">
        <v>42</v>
      </c>
      <c r="C10" s="114" t="str">
        <f>TCO_INPUTS!D44</f>
        <v>Por Administrador de Proyecto</v>
      </c>
      <c r="D10" s="83">
        <f>12*TCO_INPUTS!$G49</f>
        <v>6744</v>
      </c>
      <c r="E10" s="65" t="s">
        <v>38</v>
      </c>
      <c r="F10" s="89" t="s">
        <v>30</v>
      </c>
      <c r="G10" s="118"/>
      <c r="H10" s="134">
        <f>IF(TCO_INPUTS!$F$16&gt;0,(H9*TCO_INPUTS!$E$16/TCO_INPUTS!$F$16),0)</f>
        <v>0.2</v>
      </c>
      <c r="I10" s="134">
        <f>IF(TCO_INPUTS!$F$16&gt;0,(I9*TCO_INPUTS!$E$16/TCO_INPUTS!$F$16),0)</f>
        <v>0.4</v>
      </c>
      <c r="J10" s="134">
        <f>IF(TCO_INPUTS!$F$16&gt;0,(J9*TCO_INPUTS!$E$16/TCO_INPUTS!$F$16),0)</f>
        <v>1</v>
      </c>
      <c r="K10" s="134">
        <f>IF(TCO_INPUTS!$F$16&gt;0,(K9*TCO_INPUTS!$E$16/TCO_INPUTS!$F$16),0)</f>
        <v>2</v>
      </c>
      <c r="L10" s="198">
        <f>IF(TCO_INPUTS!$F$16&gt;0,(L9*TCO_INPUTS!$E$16/TCO_INPUTS!$F$16),0)</f>
        <v>5</v>
      </c>
    </row>
    <row r="11" spans="1:12">
      <c r="A11" s="11"/>
      <c r="B11" s="82" t="s">
        <v>35</v>
      </c>
      <c r="C11" s="114">
        <f>TCO_INPUTS!D49</f>
        <v>0</v>
      </c>
      <c r="D11" s="83">
        <f>12*TCO_INPUTS!$G55</f>
        <v>2676</v>
      </c>
      <c r="E11" s="65" t="s">
        <v>38</v>
      </c>
      <c r="F11" s="89" t="s">
        <v>31</v>
      </c>
      <c r="G11" s="119"/>
      <c r="H11" s="131">
        <f>IF(TCO_INPUTS!$F$17&gt;0,(H9*TCO_INPUTS!$E$17/TCO_INPUTS!$F$17),0)</f>
        <v>0.4</v>
      </c>
      <c r="I11" s="131">
        <f>IF(TCO_INPUTS!$F$17&gt;0,(I9*TCO_INPUTS!$E$17/TCO_INPUTS!$F$17),0)</f>
        <v>0.8</v>
      </c>
      <c r="J11" s="131">
        <f>IF(TCO_INPUTS!$F$17&gt;0,(J9*TCO_INPUTS!$E$17/TCO_INPUTS!$F$17),0)</f>
        <v>2</v>
      </c>
      <c r="K11" s="131">
        <f>IF(TCO_INPUTS!$F$17&gt;0,(K9*TCO_INPUTS!$E$17/TCO_INPUTS!$F$17),0)</f>
        <v>4</v>
      </c>
      <c r="L11" s="132">
        <f>IF(TCO_INPUTS!$F$17&gt;0,(L9*TCO_INPUTS!$E$17/TCO_INPUTS!$F$17),0)</f>
        <v>10</v>
      </c>
    </row>
    <row r="12" spans="1:12">
      <c r="A12" s="11"/>
      <c r="B12" s="82" t="s">
        <v>134</v>
      </c>
      <c r="C12" s="114" t="str">
        <f>TCO_INPUTS!D50</f>
        <v>Por Personal de Campo</v>
      </c>
      <c r="D12" s="83">
        <f>12*TCO_INPUTS!$G61</f>
        <v>0</v>
      </c>
      <c r="E12" s="65" t="s">
        <v>38</v>
      </c>
      <c r="F12" s="89" t="s">
        <v>31</v>
      </c>
      <c r="G12" s="119"/>
      <c r="H12" s="131">
        <f>IF(TCO_INPUTS!$F$18&gt;0,(H9*TCO_INPUTS!$E$18/TCO_INPUTS!$F$18),0)</f>
        <v>0</v>
      </c>
      <c r="I12" s="131">
        <f>IF(TCO_INPUTS!$F$18&gt;0,(I9*TCO_INPUTS!$E$18/TCO_INPUTS!$F$18),0)</f>
        <v>0</v>
      </c>
      <c r="J12" s="131">
        <f>IF(TCO_INPUTS!$F$18&gt;0,(J9*TCO_INPUTS!$E$18/TCO_INPUTS!$F$18),0)</f>
        <v>0</v>
      </c>
      <c r="K12" s="131">
        <f>IF(TCO_INPUTS!$F$18&gt;0,(K9*TCO_INPUTS!$E$18/TCO_INPUTS!$F$18),0)</f>
        <v>0</v>
      </c>
      <c r="L12" s="132">
        <f>IF(TCO_INPUTS!$F$18&gt;0,(L9*TCO_INPUTS!$E$18/TCO_INPUTS!$F$18),0)</f>
        <v>0</v>
      </c>
    </row>
    <row r="13" spans="1:12">
      <c r="A13" s="11"/>
      <c r="E13" s="65" t="s">
        <v>38</v>
      </c>
    </row>
    <row r="14" spans="1:12" ht="15" customHeight="1">
      <c r="A14" s="11"/>
      <c r="B14" s="82" t="s">
        <v>100</v>
      </c>
      <c r="C14" s="114"/>
      <c r="D14" s="83">
        <f>TCO_INPUTS!$F27*TCO_INPUTS!$G27</f>
        <v>8</v>
      </c>
      <c r="E14" s="65" t="s">
        <v>38</v>
      </c>
    </row>
    <row r="15" spans="1:12" ht="15" customHeight="1">
      <c r="A15" s="11"/>
      <c r="B15" s="82" t="s">
        <v>45</v>
      </c>
      <c r="C15" s="114"/>
      <c r="D15" s="83">
        <f>TCO_INPUTS!$F30*TCO_INPUTS!$G30</f>
        <v>15</v>
      </c>
      <c r="E15" s="65" t="s">
        <v>38</v>
      </c>
    </row>
    <row r="16" spans="1:12" ht="15" customHeight="1">
      <c r="A16" s="11"/>
      <c r="B16" s="82" t="s">
        <v>46</v>
      </c>
      <c r="C16" s="114"/>
      <c r="D16" s="83">
        <f>TCO_INPUTS!$F33*TCO_INPUTS!$G33</f>
        <v>12</v>
      </c>
      <c r="E16" s="65" t="s">
        <v>38</v>
      </c>
    </row>
    <row r="17" spans="1:12" ht="15" customHeight="1">
      <c r="A17" s="11"/>
      <c r="B17" s="82" t="s">
        <v>135</v>
      </c>
      <c r="C17" s="114"/>
      <c r="D17" s="83">
        <f>TCO_INPUTS!$F36*TCO_INPUTS!$G36</f>
        <v>0</v>
      </c>
      <c r="E17" s="65"/>
    </row>
    <row r="18" spans="1:12" ht="15" customHeight="1">
      <c r="A18" s="11"/>
      <c r="B18" s="82" t="s">
        <v>101</v>
      </c>
      <c r="C18" s="114"/>
      <c r="D18" s="83">
        <f>SUMPRODUCT(TCO_INPUTS!$F26,TCO_INPUTS!$G26)</f>
        <v>16</v>
      </c>
      <c r="E18" s="65" t="s">
        <v>38</v>
      </c>
      <c r="F18" s="89" t="s">
        <v>29</v>
      </c>
      <c r="G18" s="119"/>
      <c r="H18" s="131">
        <f>H9</f>
        <v>100</v>
      </c>
      <c r="I18" s="131">
        <f>((TCO_INPUTS!F11-TCO_INPUTS!E11)+TCO_INPUTS!$F$24*H9)</f>
        <v>110</v>
      </c>
      <c r="J18" s="131">
        <f>((TCO_INPUTS!G11-TCO_INPUTS!F11)+TCO_INPUTS!$F$24*I9)</f>
        <v>320</v>
      </c>
      <c r="K18" s="131">
        <f>((TCO_INPUTS!H11-TCO_INPUTS!G11)+TCO_INPUTS!$F$24*J9)</f>
        <v>550</v>
      </c>
      <c r="L18" s="132">
        <f>((TCO_INPUTS!I11-TCO_INPUTS!H11)+TCO_INPUTS!$F$24*K9)</f>
        <v>1600</v>
      </c>
    </row>
    <row r="19" spans="1:12" ht="15" customHeight="1">
      <c r="A19" s="11"/>
      <c r="B19" s="82" t="s">
        <v>47</v>
      </c>
      <c r="C19" s="114"/>
      <c r="D19" s="83">
        <f>SUMPRODUCT(TCO_INPUTS!$F29,TCO_INPUTS!$G29)</f>
        <v>60</v>
      </c>
      <c r="E19" s="65" t="s">
        <v>38</v>
      </c>
      <c r="F19" s="89" t="s">
        <v>32</v>
      </c>
      <c r="G19" s="119"/>
      <c r="H19" s="131">
        <f>H10</f>
        <v>0.2</v>
      </c>
      <c r="I19" s="131">
        <f>MAX(((I10-H10)+TCO_INPUTS!$F$24*H10),0)</f>
        <v>0.22000000000000003</v>
      </c>
      <c r="J19" s="131">
        <f>MAX(((J10-I10)+TCO_INPUTS!$F$24*I10),0)</f>
        <v>0.64</v>
      </c>
      <c r="K19" s="131">
        <f>MAX(((K10-J10)+TCO_INPUTS!$F$24*J10),0)</f>
        <v>1.1000000000000001</v>
      </c>
      <c r="L19" s="132">
        <f>MAX(((L10-K10)+TCO_INPUTS!$F$24*K10),0)</f>
        <v>3.2</v>
      </c>
    </row>
    <row r="20" spans="1:12" ht="15" customHeight="1">
      <c r="A20" s="11"/>
      <c r="B20" s="82" t="s">
        <v>48</v>
      </c>
      <c r="C20" s="114"/>
      <c r="D20" s="83">
        <f>SUMPRODUCT(TCO_INPUTS!$F32,TCO_INPUTS!$G32)</f>
        <v>48</v>
      </c>
      <c r="E20" s="65" t="s">
        <v>38</v>
      </c>
      <c r="F20" s="89" t="s">
        <v>33</v>
      </c>
      <c r="G20" s="119"/>
      <c r="H20" s="131">
        <f>H11</f>
        <v>0.4</v>
      </c>
      <c r="I20" s="131">
        <f>MAX(((I11-H11)+TCO_INPUTS!$F$24*H11),0)</f>
        <v>0.44000000000000006</v>
      </c>
      <c r="J20" s="131">
        <f>MAX(((J11-I11)+TCO_INPUTS!$F$24*I11),0)</f>
        <v>1.28</v>
      </c>
      <c r="K20" s="131">
        <f>MAX(((K11-J11)+TCO_INPUTS!$F$24*J11),0)</f>
        <v>2.2000000000000002</v>
      </c>
      <c r="L20" s="132">
        <f>MAX(((L11-K11)+TCO_INPUTS!$F$24*K11),0)</f>
        <v>6.4</v>
      </c>
    </row>
    <row r="21" spans="1:12" ht="15" customHeight="1">
      <c r="A21" s="11"/>
      <c r="B21" s="82" t="s">
        <v>136</v>
      </c>
      <c r="C21" s="114"/>
      <c r="D21" s="83">
        <f>SUMPRODUCT(TCO_INPUTS!$F35,TCO_INPUTS!$G35)</f>
        <v>0</v>
      </c>
      <c r="E21" s="65"/>
      <c r="F21" s="89" t="s">
        <v>138</v>
      </c>
      <c r="G21" s="119"/>
      <c r="H21" s="131">
        <f>H12</f>
        <v>0</v>
      </c>
      <c r="I21" s="131">
        <f>MAX(((I12-H12)+TCO_INPUTS!$F$24*H12),0)</f>
        <v>0</v>
      </c>
      <c r="J21" s="131">
        <f>MAX(((J12-I12)+TCO_INPUTS!$F$24*I12),0)</f>
        <v>0</v>
      </c>
      <c r="K21" s="131">
        <f>MAX(((K12-J12)+TCO_INPUTS!$F$24*J12),0)</f>
        <v>0</v>
      </c>
      <c r="L21" s="132">
        <f>MAX(((L12-K12)+TCO_INPUTS!$F$24*K12),0)</f>
        <v>0</v>
      </c>
    </row>
    <row r="22" spans="1:12" ht="15" customHeight="1">
      <c r="A22" s="11"/>
      <c r="B22" s="82" t="s">
        <v>27</v>
      </c>
      <c r="C22" s="114" t="str">
        <f>TCO_INPUTS!D62</f>
        <v>Gastos Adicionales de Oficina</v>
      </c>
      <c r="D22" s="83">
        <f>12*TCO_INPUTS!$G66</f>
        <v>300</v>
      </c>
      <c r="E22" s="65" t="s">
        <v>38</v>
      </c>
      <c r="F22" s="307" t="s">
        <v>43</v>
      </c>
      <c r="G22" s="308"/>
      <c r="H22" s="309">
        <f>SUM(H9:H12)</f>
        <v>100.60000000000001</v>
      </c>
      <c r="I22" s="309">
        <f>SUM(I9:I12)</f>
        <v>201.20000000000002</v>
      </c>
      <c r="J22" s="309">
        <f>SUM(J9:J12)</f>
        <v>503</v>
      </c>
      <c r="K22" s="309">
        <f>SUM(K9:K12)</f>
        <v>1006</v>
      </c>
      <c r="L22" s="310">
        <f>SUM(L9:L12)</f>
        <v>2515</v>
      </c>
    </row>
    <row r="23" spans="1:12">
      <c r="A23" s="11"/>
      <c r="B23" s="213"/>
      <c r="C23" s="213" t="e">
        <f>TCO_INPUTS!#REF!</f>
        <v>#REF!</v>
      </c>
      <c r="D23" s="214"/>
      <c r="E23" s="65" t="s">
        <v>38</v>
      </c>
    </row>
    <row r="24" spans="1:12">
      <c r="A24" s="11"/>
      <c r="E24" s="65" t="s">
        <v>38</v>
      </c>
    </row>
    <row r="25" spans="1:12">
      <c r="A25" s="11"/>
      <c r="B25" s="77"/>
      <c r="C25" s="77"/>
      <c r="D25" s="78"/>
      <c r="E25" s="65" t="s">
        <v>38</v>
      </c>
      <c r="F25" s="12"/>
      <c r="G25" s="12"/>
      <c r="H25" s="12"/>
      <c r="I25" s="12"/>
      <c r="J25" s="12"/>
      <c r="K25" s="12"/>
      <c r="L25" s="12"/>
    </row>
    <row r="26" spans="1:12">
      <c r="A26" s="11"/>
      <c r="B26" s="84" t="str">
        <f>TCO_INPUTS!C68</f>
        <v>New Equipment / Capital Expenses</v>
      </c>
      <c r="C26" s="115" t="s">
        <v>25</v>
      </c>
      <c r="D26" s="85"/>
      <c r="E26" s="65" t="s">
        <v>38</v>
      </c>
      <c r="F26" s="87" t="s">
        <v>201</v>
      </c>
      <c r="G26" s="117"/>
      <c r="H26" s="48"/>
      <c r="I26" s="48"/>
      <c r="J26" s="48"/>
      <c r="K26" s="48"/>
      <c r="L26" s="88"/>
    </row>
    <row r="27" spans="1:12">
      <c r="A27" s="11"/>
      <c r="B27" s="82" t="s">
        <v>94</v>
      </c>
      <c r="C27" s="114" t="str">
        <f>TCO_INPUTS!D71</f>
        <v>Teléfonos móviles / cargadores / tarjetas SIM &amp; registro</v>
      </c>
      <c r="D27" s="86">
        <f>TCO_INPUTS!G71</f>
        <v>95</v>
      </c>
      <c r="E27" s="65" t="s">
        <v>38</v>
      </c>
      <c r="F27" s="307" t="str">
        <f>B27</f>
        <v>Mobile Phones</v>
      </c>
      <c r="G27" s="308"/>
      <c r="H27" s="309">
        <f>ROUNDUP(SUM(H28:H31),0)</f>
        <v>100</v>
      </c>
      <c r="I27" s="309">
        <f t="shared" ref="I27:L27" si="0">ROUNDUP(SUM(I28:I31),0)</f>
        <v>111</v>
      </c>
      <c r="J27" s="309">
        <f t="shared" si="0"/>
        <v>322</v>
      </c>
      <c r="K27" s="309">
        <f t="shared" si="0"/>
        <v>553</v>
      </c>
      <c r="L27" s="310">
        <f t="shared" si="0"/>
        <v>1609</v>
      </c>
    </row>
    <row r="28" spans="1:12">
      <c r="A28" s="11"/>
      <c r="B28" s="82" t="s">
        <v>91</v>
      </c>
      <c r="C28" s="114" t="str">
        <f>TCO_INPUTS!D72</f>
        <v>Sistema Solar para cargar aparatos</v>
      </c>
      <c r="D28" s="86">
        <f>TCO_INPUTS!$F72*TCO_INPUTS!$G72</f>
        <v>200</v>
      </c>
      <c r="E28" s="65" t="s">
        <v>38</v>
      </c>
      <c r="F28" s="89" t="s">
        <v>188</v>
      </c>
      <c r="G28" s="119"/>
      <c r="H28" s="108">
        <f>TCO_INPUTS!E11</f>
        <v>100</v>
      </c>
      <c r="I28" s="108">
        <f>I9-H9+H9*TCO_INPUTS!$F$70</f>
        <v>110</v>
      </c>
      <c r="J28" s="108">
        <f>J9-I9+I9*TCO_INPUTS!$F$70</f>
        <v>320</v>
      </c>
      <c r="K28" s="108">
        <f>K9-J9+J9*TCO_INPUTS!$F$70</f>
        <v>550</v>
      </c>
      <c r="L28" s="107">
        <f>L9-K9+K9*TCO_INPUTS!$F$70</f>
        <v>1600</v>
      </c>
    </row>
    <row r="29" spans="1:12">
      <c r="A29" s="11"/>
      <c r="B29" s="82" t="s">
        <v>192</v>
      </c>
      <c r="C29" s="114" t="str">
        <f>TCO_INPUTS!D73</f>
        <v>Netbook o portátil Por Administrador de Proyecto</v>
      </c>
      <c r="D29" s="86">
        <f>TCO_INPUTS!$G73*TCO_INPUTS!F73</f>
        <v>0</v>
      </c>
      <c r="E29" s="65" t="s">
        <v>38</v>
      </c>
      <c r="F29" s="89" t="s">
        <v>189</v>
      </c>
      <c r="G29" s="119"/>
      <c r="H29" s="131">
        <f>ROUND(H10,0)</f>
        <v>0</v>
      </c>
      <c r="I29" s="131">
        <f>ROUND((I10-H29+H10*TCO_INPUTS!$F$70),0)</f>
        <v>0</v>
      </c>
      <c r="J29" s="131">
        <f>ROUND((J10-SUM(H29:I29)+I10*TCO_INPUTS!$F$70),0)</f>
        <v>1</v>
      </c>
      <c r="K29" s="131">
        <f>ROUND((K10-SUM(H29:J29)+J10*TCO_INPUTS!$F$70),0)</f>
        <v>1</v>
      </c>
      <c r="L29" s="132">
        <f>ROUND((L10-SUM(H29:K29)+K10*TCO_INPUTS!$F$70),0)</f>
        <v>3</v>
      </c>
    </row>
    <row r="30" spans="1:12">
      <c r="A30" s="11"/>
      <c r="B30" s="82" t="s">
        <v>193</v>
      </c>
      <c r="C30" s="114" t="str">
        <f>TCO_INPUTS!D75</f>
        <v>Netbook o portátil Por Personal de [Insertar]</v>
      </c>
      <c r="D30" s="86">
        <f>TCO_INPUTS!$G74*TCO_INPUTS!F74</f>
        <v>0</v>
      </c>
      <c r="E30" s="65" t="s">
        <v>38</v>
      </c>
      <c r="F30" s="90" t="s">
        <v>190</v>
      </c>
      <c r="G30" s="120"/>
      <c r="H30" s="131">
        <f>ROUND(H11,0)</f>
        <v>0</v>
      </c>
      <c r="I30" s="131">
        <f>ROUND((I11-H30+H11*TCO_INPUTS!$F$70),0)</f>
        <v>1</v>
      </c>
      <c r="J30" s="131">
        <f>ROUND((J11-SUM(H30:I30)+I11*TCO_INPUTS!$F$70),0)</f>
        <v>1</v>
      </c>
      <c r="K30" s="131">
        <f>ROUND((K11-SUM(H30:J30)+J11*TCO_INPUTS!$F$70),0)</f>
        <v>2</v>
      </c>
      <c r="L30" s="132">
        <f>ROUND((L11-SUM(H30:K30)+K11*TCO_INPUTS!$F$70),0)</f>
        <v>6</v>
      </c>
    </row>
    <row r="31" spans="1:12">
      <c r="A31" s="11"/>
      <c r="B31" s="82" t="s">
        <v>194</v>
      </c>
      <c r="C31" s="114"/>
      <c r="D31" s="86">
        <f>TCO_INPUTS!$G75*TCO_INPUTS!F75</f>
        <v>0</v>
      </c>
      <c r="E31" s="65" t="s">
        <v>38</v>
      </c>
      <c r="F31" s="89" t="s">
        <v>191</v>
      </c>
      <c r="G31" s="119"/>
      <c r="H31" s="131">
        <f>ROUND(H12,0)</f>
        <v>0</v>
      </c>
      <c r="I31" s="131">
        <f>ROUND((I12-H31+H12*TCO_INPUTS!$F$70),0)</f>
        <v>0</v>
      </c>
      <c r="J31" s="131">
        <f>ROUND((J12-SUM(H31:I31)+I12*TCO_INPUTS!$F$70),0)</f>
        <v>0</v>
      </c>
      <c r="K31" s="131">
        <f>ROUND((K12-SUM(H31:J31)+J12*TCO_INPUTS!$F$70),0)</f>
        <v>0</v>
      </c>
      <c r="L31" s="132">
        <f>ROUND((L12-SUM(H31:K31)+K12*TCO_INPUTS!$F$70),0)</f>
        <v>0</v>
      </c>
    </row>
    <row r="32" spans="1:12">
      <c r="A32" s="11"/>
      <c r="B32" s="82" t="s">
        <v>28</v>
      </c>
      <c r="C32" s="114" t="str">
        <f>TCO_INPUTS!D76</f>
        <v>Equipo adicional por oficina</v>
      </c>
      <c r="D32" s="86">
        <f>TCO_INPUTS!$G79</f>
        <v>198</v>
      </c>
      <c r="E32" s="65"/>
      <c r="F32" s="307" t="s">
        <v>197</v>
      </c>
      <c r="G32" s="308"/>
      <c r="H32" s="309">
        <f>SUM(H33:H35)</f>
        <v>0</v>
      </c>
      <c r="I32" s="309">
        <f t="shared" ref="I32:L32" si="1">SUM(I33:I35)</f>
        <v>0</v>
      </c>
      <c r="J32" s="309">
        <f t="shared" si="1"/>
        <v>0</v>
      </c>
      <c r="K32" s="309">
        <f t="shared" si="1"/>
        <v>0</v>
      </c>
      <c r="L32" s="310">
        <f t="shared" si="1"/>
        <v>0</v>
      </c>
    </row>
    <row r="33" spans="1:31">
      <c r="A33" s="11"/>
      <c r="E33" s="65" t="s">
        <v>38</v>
      </c>
      <c r="F33" s="89" t="s">
        <v>198</v>
      </c>
      <c r="G33" s="119"/>
      <c r="H33" s="108">
        <f>ROUND(H10*TCO_INPUTS!$F73,0)</f>
        <v>0</v>
      </c>
      <c r="I33" s="131">
        <f>ROUND((I10-H33+H33*TCO_INPUTS!$F$69)*TCO_INPUTS!$F73,0)</f>
        <v>0</v>
      </c>
      <c r="J33" s="131">
        <f>ROUND((J10-SUM(H33:I33)+SUM(H33:I33)*TCO_INPUTS!$F$69)*TCO_INPUTS!$F73,0)</f>
        <v>0</v>
      </c>
      <c r="K33" s="131">
        <f>ROUND((K10-SUM(H33:J33)+SUM(H33:J33)*TCO_INPUTS!$F$69)*TCO_INPUTS!$F73,0)</f>
        <v>0</v>
      </c>
      <c r="L33" s="132">
        <f>ROUND((L10-SUM(H33:K33)+SUM(H33:K33)*TCO_INPUTS!$F$69)*TCO_INPUTS!$F73,0)</f>
        <v>0</v>
      </c>
    </row>
    <row r="34" spans="1:31">
      <c r="A34" s="11"/>
      <c r="E34" s="65" t="s">
        <v>38</v>
      </c>
      <c r="F34" s="89" t="s">
        <v>200</v>
      </c>
      <c r="G34" s="119"/>
      <c r="H34" s="108">
        <f>ROUND(H11*TCO_INPUTS!$F74,0)</f>
        <v>0</v>
      </c>
      <c r="I34" s="131">
        <f>ROUND((I11-H34+H34*TCO_INPUTS!$F$69)*TCO_INPUTS!$F74,0)</f>
        <v>0</v>
      </c>
      <c r="J34" s="131">
        <f>ROUND((J11-SUM(H34:I34)+SUM(H34:I34)*TCO_INPUTS!$F$69)*TCO_INPUTS!$F74,0)</f>
        <v>0</v>
      </c>
      <c r="K34" s="131">
        <f>ROUND((K11-SUM(H34:J34)+SUM(H34:J34)*TCO_INPUTS!$F$69)*TCO_INPUTS!$F74,0)</f>
        <v>0</v>
      </c>
      <c r="L34" s="132">
        <f>ROUND((L11-SUM(H34:K34)+SUM(H34:K34)*TCO_INPUTS!$F$69)*TCO_INPUTS!$F74,0)</f>
        <v>0</v>
      </c>
    </row>
    <row r="35" spans="1:31">
      <c r="A35" s="11"/>
      <c r="E35" s="65" t="s">
        <v>38</v>
      </c>
      <c r="F35" s="89" t="s">
        <v>199</v>
      </c>
      <c r="G35" s="119"/>
      <c r="H35" s="108">
        <f>ROUND(H12*TCO_INPUTS!$F75,0)</f>
        <v>0</v>
      </c>
      <c r="I35" s="131">
        <f>ROUND((I12-H35+H35*TCO_INPUTS!$F$69)*TCO_INPUTS!$F75,0)</f>
        <v>0</v>
      </c>
      <c r="J35" s="131">
        <f>ROUND((J12-SUM(H35:I35)+SUM(H35:I35)*TCO_INPUTS!$F$69)*TCO_INPUTS!$F75,0)</f>
        <v>0</v>
      </c>
      <c r="K35" s="131">
        <f>ROUND((K12-SUM(H35:J35)+SUM(H35:J35)*TCO_INPUTS!$F$69)*TCO_INPUTS!$F75,0)</f>
        <v>0</v>
      </c>
      <c r="L35" s="132">
        <f>ROUND((L12-SUM(H35:K35)+SUM(H35:K35)*TCO_INPUTS!$F$69)*TCO_INPUTS!$F75,0)</f>
        <v>0</v>
      </c>
    </row>
    <row r="36" spans="1:31" s="187" customFormat="1">
      <c r="E36" s="313"/>
      <c r="F36" s="314"/>
      <c r="G36" s="314"/>
      <c r="H36" s="315"/>
      <c r="I36" s="315"/>
      <c r="J36" s="315"/>
      <c r="K36" s="315"/>
      <c r="L36" s="315"/>
    </row>
    <row r="37" spans="1:31">
      <c r="A37" s="11"/>
      <c r="E37" s="65" t="s">
        <v>38</v>
      </c>
      <c r="F37" s="89" t="s">
        <v>50</v>
      </c>
      <c r="G37" s="119"/>
      <c r="H37" s="108">
        <f>TCO_INPUTS!E11*TCO_INPUTS!E12</f>
        <v>200000</v>
      </c>
      <c r="I37" s="108">
        <f>TCO_INPUTS!F11*TCO_INPUTS!F12</f>
        <v>400000</v>
      </c>
      <c r="J37" s="108">
        <f>TCO_INPUTS!G11*TCO_INPUTS!G12</f>
        <v>1000000</v>
      </c>
      <c r="K37" s="108">
        <f>TCO_INPUTS!H11*TCO_INPUTS!H12</f>
        <v>2000000</v>
      </c>
      <c r="L37" s="107">
        <f>TCO_INPUTS!I11*TCO_INPUTS!I12</f>
        <v>5000000</v>
      </c>
    </row>
    <row r="38" spans="1:31">
      <c r="A38" s="11"/>
      <c r="E38" s="65" t="s">
        <v>38</v>
      </c>
      <c r="F38" s="12"/>
      <c r="G38" s="12"/>
      <c r="H38" s="12"/>
      <c r="I38" s="12"/>
      <c r="J38" s="12"/>
      <c r="K38" s="12"/>
      <c r="L38" s="12"/>
    </row>
    <row r="39" spans="1:31">
      <c r="B39" s="12"/>
      <c r="C39" s="12"/>
      <c r="D39" s="12"/>
      <c r="E39" s="12"/>
      <c r="F39" s="12"/>
      <c r="G39" s="12"/>
      <c r="H39" s="12"/>
      <c r="I39" s="12"/>
      <c r="J39" s="12"/>
      <c r="K39" s="12"/>
      <c r="L39" s="12"/>
      <c r="AD39" s="12"/>
      <c r="AE39" s="12"/>
    </row>
    <row r="40" spans="1:31">
      <c r="AD40" s="12"/>
      <c r="AE40" s="12"/>
    </row>
    <row r="41" spans="1:31">
      <c r="AD41" s="12"/>
      <c r="AE41" s="12"/>
    </row>
    <row r="42" spans="1:31">
      <c r="AD42" s="12"/>
      <c r="AE42" s="12"/>
    </row>
    <row r="43" spans="1:31">
      <c r="AD43" s="12"/>
      <c r="AE43" s="12"/>
    </row>
    <row r="44" spans="1:31">
      <c r="AD44" s="12"/>
      <c r="AE44" s="12"/>
    </row>
    <row r="45" spans="1:31">
      <c r="AD45" s="12"/>
      <c r="AE45" s="12"/>
    </row>
    <row r="46" spans="1:31">
      <c r="AD46" s="12"/>
      <c r="AE46" s="12"/>
    </row>
    <row r="47" spans="1:31">
      <c r="AD47" s="12"/>
      <c r="AE47" s="12"/>
    </row>
    <row r="48" spans="1:31">
      <c r="AD48" s="12"/>
      <c r="AE48" s="12"/>
    </row>
    <row r="49" spans="30:31">
      <c r="AD49" s="12"/>
      <c r="AE49" s="12"/>
    </row>
    <row r="50" spans="30:31">
      <c r="AD50" s="12"/>
      <c r="AE50" s="12"/>
    </row>
    <row r="51" spans="30:31">
      <c r="AD51" s="12"/>
      <c r="AE51" s="12"/>
    </row>
    <row r="52" spans="30:31">
      <c r="AD52" s="12"/>
      <c r="AE52" s="12"/>
    </row>
    <row r="53" spans="30:31">
      <c r="AD53" s="12"/>
      <c r="AE53" s="12"/>
    </row>
    <row r="54" spans="30:31">
      <c r="AD54" s="12"/>
      <c r="AE54" s="12"/>
    </row>
    <row r="55" spans="30:31">
      <c r="AD55" s="12"/>
      <c r="AE55" s="12"/>
    </row>
    <row r="56" spans="30:31">
      <c r="AD56" s="12"/>
      <c r="AE56" s="12"/>
    </row>
    <row r="57" spans="30:31">
      <c r="AD57" s="12"/>
      <c r="AE57" s="12"/>
    </row>
    <row r="58" spans="30:31">
      <c r="AD58" s="12"/>
      <c r="AE58" s="12"/>
    </row>
    <row r="59" spans="30:31">
      <c r="AD59" s="12"/>
      <c r="AE59" s="12"/>
    </row>
    <row r="60" spans="30:31">
      <c r="AD60" s="12"/>
      <c r="AE60" s="12"/>
    </row>
  </sheetData>
  <mergeCells count="1">
    <mergeCell ref="B7:D7"/>
  </mergeCells>
  <phoneticPr fontId="37" type="noConversion"/>
  <dataValidations count="1">
    <dataValidation operator="greaterThan" allowBlank="1" showInputMessage="1" showErrorMessage="1" sqref="H10:L10"/>
  </dataValidations>
  <pageMargins left="0.7" right="0.7" top="0.75" bottom="0.75" header="0.3" footer="0.3"/>
  <pageSetup scale="45" orientation="landscape"/>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86"/>
  <sheetViews>
    <sheetView showGridLines="0" topLeftCell="A35" zoomScale="110" zoomScaleNormal="110" zoomScalePageLayoutView="110" workbookViewId="0">
      <selection activeCell="E42" sqref="E42"/>
    </sheetView>
  </sheetViews>
  <sheetFormatPr baseColWidth="10" defaultRowHeight="14" x14ac:dyDescent="0"/>
  <cols>
    <col min="3" max="3" width="27.83203125" customWidth="1"/>
    <col min="4" max="7" width="10.83203125" style="164"/>
    <col min="8" max="8" width="12.1640625" style="164" customWidth="1"/>
    <col min="9" max="9" width="11.6640625" style="164" bestFit="1" customWidth="1"/>
    <col min="10" max="10" width="5.33203125" bestFit="1" customWidth="1"/>
  </cols>
  <sheetData>
    <row r="1" spans="1:24">
      <c r="A1" s="62"/>
      <c r="B1" s="29"/>
      <c r="C1" s="29"/>
      <c r="D1" s="145"/>
      <c r="E1" s="145"/>
      <c r="F1" s="145"/>
      <c r="G1" s="145"/>
      <c r="H1" s="145"/>
      <c r="I1" s="145"/>
      <c r="J1" s="1"/>
      <c r="K1" s="62"/>
      <c r="L1" s="29"/>
      <c r="M1" s="29"/>
      <c r="N1" s="30"/>
      <c r="O1" s="30"/>
      <c r="P1" s="29"/>
      <c r="Q1" s="29"/>
      <c r="R1" s="29"/>
      <c r="S1" s="29"/>
      <c r="T1" s="2"/>
      <c r="U1" s="1"/>
      <c r="V1" s="1"/>
      <c r="W1" s="1"/>
      <c r="X1" s="111"/>
    </row>
    <row r="2" spans="1:24" ht="18">
      <c r="A2" s="63"/>
      <c r="B2" s="2"/>
      <c r="C2" s="2"/>
      <c r="D2" s="146"/>
      <c r="E2" s="146"/>
      <c r="F2" s="146"/>
      <c r="G2" s="146"/>
      <c r="H2" s="146"/>
      <c r="I2" s="215" t="s">
        <v>151</v>
      </c>
      <c r="J2" s="1"/>
      <c r="K2" s="63"/>
      <c r="L2" s="2"/>
      <c r="M2" s="2"/>
      <c r="N2" s="26"/>
      <c r="O2" s="26"/>
      <c r="P2" s="2"/>
      <c r="Q2" s="2"/>
      <c r="R2" s="2"/>
      <c r="S2" s="12"/>
      <c r="T2" s="12"/>
      <c r="U2" s="1"/>
      <c r="V2" s="1"/>
      <c r="W2" s="1"/>
      <c r="X2" s="111"/>
    </row>
    <row r="3" spans="1:24">
      <c r="A3" s="64"/>
      <c r="B3" s="42"/>
      <c r="C3" s="42"/>
      <c r="D3" s="147"/>
      <c r="E3" s="147"/>
      <c r="F3" s="147"/>
      <c r="G3" s="147"/>
      <c r="H3" s="147"/>
      <c r="I3" s="147"/>
      <c r="J3" s="42"/>
      <c r="K3" s="64"/>
      <c r="L3" s="42"/>
      <c r="M3" s="42"/>
      <c r="N3" s="42"/>
      <c r="O3" s="43"/>
      <c r="P3" s="42"/>
      <c r="Q3" s="42"/>
      <c r="R3" s="42"/>
      <c r="S3" s="109"/>
      <c r="T3" s="109"/>
      <c r="U3" s="109"/>
      <c r="V3" s="109"/>
      <c r="W3" s="109"/>
      <c r="X3" s="96"/>
    </row>
    <row r="4" spans="1:24">
      <c r="A4" s="67"/>
      <c r="B4" s="2"/>
      <c r="C4" s="2"/>
      <c r="D4" s="146"/>
      <c r="E4" s="146"/>
      <c r="F4" s="165"/>
      <c r="G4" s="146"/>
      <c r="H4" s="146"/>
      <c r="I4" s="146"/>
      <c r="J4" s="2"/>
      <c r="K4" s="67"/>
      <c r="L4" s="2"/>
      <c r="M4" s="2"/>
      <c r="N4" s="2"/>
      <c r="O4" s="2"/>
      <c r="P4" s="2"/>
      <c r="Q4" s="2"/>
      <c r="R4" s="2"/>
      <c r="S4" s="110"/>
      <c r="T4" s="110"/>
      <c r="U4" s="110"/>
      <c r="V4" s="110"/>
      <c r="W4" s="110"/>
      <c r="X4" s="97"/>
    </row>
    <row r="5" spans="1:24" ht="18">
      <c r="A5" s="65"/>
      <c r="B5" s="181" t="s">
        <v>36</v>
      </c>
      <c r="C5" s="68"/>
      <c r="D5" s="148"/>
      <c r="E5" s="148"/>
      <c r="F5" s="148"/>
      <c r="G5" s="148"/>
      <c r="H5" s="148"/>
      <c r="I5" s="148"/>
      <c r="J5" s="3"/>
      <c r="K5" s="65"/>
      <c r="L5" s="3"/>
      <c r="M5" s="443"/>
      <c r="N5" s="443"/>
      <c r="O5" s="443"/>
      <c r="P5" s="443"/>
      <c r="Q5" s="443"/>
      <c r="R5" s="443"/>
      <c r="S5" s="366"/>
      <c r="T5" s="366"/>
      <c r="U5" s="443"/>
      <c r="V5" s="443"/>
      <c r="W5" s="443"/>
      <c r="X5" s="458"/>
    </row>
    <row r="6" spans="1:24" ht="15" thickBot="1">
      <c r="A6" s="65"/>
      <c r="B6" s="12"/>
      <c r="C6" s="112"/>
      <c r="D6" s="148"/>
      <c r="E6" s="148"/>
      <c r="F6" s="148"/>
      <c r="G6" s="148"/>
      <c r="H6" s="148"/>
      <c r="I6" s="148"/>
      <c r="J6" s="3"/>
      <c r="K6" s="65"/>
      <c r="L6" s="3"/>
      <c r="M6" s="443"/>
      <c r="N6" s="443"/>
      <c r="O6" s="443"/>
      <c r="P6" s="443"/>
      <c r="Q6" s="443"/>
      <c r="R6" s="443"/>
      <c r="S6" s="366"/>
      <c r="T6" s="366"/>
      <c r="U6" s="443"/>
      <c r="V6" s="443"/>
      <c r="W6" s="443"/>
      <c r="X6" s="458"/>
    </row>
    <row r="7" spans="1:24">
      <c r="A7" s="74"/>
      <c r="B7" s="75" t="s">
        <v>41</v>
      </c>
      <c r="C7" s="121"/>
      <c r="D7" s="73" t="str">
        <f>TCO_CALCULATIONS!H7</f>
        <v>Year 1</v>
      </c>
      <c r="E7" s="73" t="str">
        <f>TCO_CALCULATIONS!I7</f>
        <v>Year 2</v>
      </c>
      <c r="F7" s="73" t="str">
        <f>TCO_CALCULATIONS!J7</f>
        <v>Year 3</v>
      </c>
      <c r="G7" s="73" t="str">
        <f>TCO_CALCULATIONS!K7</f>
        <v>Year 4</v>
      </c>
      <c r="H7" s="73" t="str">
        <f>TCO_CALCULATIONS!L7</f>
        <v>Year 5</v>
      </c>
      <c r="I7" s="76" t="s">
        <v>16</v>
      </c>
      <c r="J7" s="3"/>
      <c r="K7" s="74"/>
      <c r="L7" s="3"/>
      <c r="M7" s="443"/>
      <c r="N7" s="443"/>
      <c r="O7" s="443"/>
      <c r="P7" s="443"/>
      <c r="Q7" s="443"/>
      <c r="R7" s="443"/>
      <c r="S7" s="459"/>
      <c r="T7" s="459"/>
      <c r="U7" s="443"/>
      <c r="V7" s="443"/>
      <c r="W7" s="443"/>
      <c r="X7" s="458"/>
    </row>
    <row r="8" spans="1:24">
      <c r="A8" s="65"/>
      <c r="B8" s="4" t="s">
        <v>0</v>
      </c>
      <c r="C8" s="113"/>
      <c r="D8" s="149"/>
      <c r="E8" s="149"/>
      <c r="F8" s="149"/>
      <c r="G8" s="149"/>
      <c r="H8" s="166"/>
      <c r="I8" s="167"/>
      <c r="J8" s="3"/>
      <c r="K8" s="65"/>
      <c r="L8" s="3"/>
      <c r="M8" s="443"/>
      <c r="N8" s="443"/>
      <c r="O8" s="443"/>
      <c r="P8" s="443"/>
      <c r="Q8" s="443"/>
      <c r="R8" s="443"/>
      <c r="S8" s="459"/>
      <c r="T8" s="459"/>
      <c r="U8" s="443"/>
      <c r="V8" s="443"/>
      <c r="W8" s="443"/>
      <c r="X8" s="458"/>
    </row>
    <row r="9" spans="1:24">
      <c r="A9" s="65"/>
      <c r="B9" s="93" t="s">
        <v>144</v>
      </c>
      <c r="C9" s="122"/>
      <c r="D9" s="318">
        <f>TCO_CALCULATIONS!$D9*TCO_CALCULATIONS!H9</f>
        <v>1200</v>
      </c>
      <c r="E9" s="318">
        <f>TCO_CALCULATIONS!$D9*(1+TCO_INPUTS!$E$20)*TCO_CALCULATIONS!I9</f>
        <v>2616.0000000000005</v>
      </c>
      <c r="F9" s="318">
        <f>TCO_CALCULATIONS!$D9*((1+TCO_INPUTS!$E$20)^2)*TCO_CALCULATIONS!J9</f>
        <v>7128.6</v>
      </c>
      <c r="G9" s="318">
        <f>TCO_CALCULATIONS!$D9*((1+TCO_INPUTS!$E$20)^3)*TCO_CALCULATIONS!K9</f>
        <v>15540.348000000002</v>
      </c>
      <c r="H9" s="318">
        <f>TCO_CALCULATIONS!$D9*((1+TCO_INPUTS!$E$20)^4)*TCO_CALCULATIONS!L9</f>
        <v>42347.448300000004</v>
      </c>
      <c r="I9" s="321">
        <f t="shared" ref="I9:I23" si="0">SUM(D9:H9)</f>
        <v>68832.396300000008</v>
      </c>
      <c r="J9" s="3"/>
      <c r="K9" s="65"/>
      <c r="L9" s="3"/>
      <c r="M9" s="443"/>
      <c r="N9" s="443"/>
      <c r="O9" s="443"/>
      <c r="P9" s="443"/>
      <c r="Q9" s="443"/>
      <c r="R9" s="443"/>
      <c r="S9" s="459"/>
      <c r="T9" s="459"/>
      <c r="U9" s="443"/>
      <c r="V9" s="443"/>
      <c r="W9" s="443"/>
      <c r="X9" s="458"/>
    </row>
    <row r="10" spans="1:24">
      <c r="A10" s="65"/>
      <c r="B10" s="93" t="s">
        <v>173</v>
      </c>
      <c r="C10" s="199"/>
      <c r="D10" s="319">
        <f>(TCO_CALCULATIONS!$D10*TCO_CALCULATIONS!H10+TCO_CALCULATIONS!$D11*TCO_CALCULATIONS!H11+TCO_CALCULATIONS!$D12*TCO_CALCULATIONS!H12)</f>
        <v>2419.2000000000003</v>
      </c>
      <c r="E10" s="319">
        <f>(TCO_CALCULATIONS!$D10*TCO_CALCULATIONS!I10+TCO_CALCULATIONS!$D11*TCO_CALCULATIONS!I11+TCO_CALCULATIONS!$D12*TCO_CALCULATIONS!I12)*(1+TCO_INPUTS!$E$20)</f>
        <v>5273.8560000000007</v>
      </c>
      <c r="F10" s="319">
        <f>(TCO_CALCULATIONS!$D10*TCO_CALCULATIONS!J10+TCO_CALCULATIONS!$D11*TCO_CALCULATIONS!J11+TCO_CALCULATIONS!$D12*TCO_CALCULATIONS!J12)*((1+TCO_INPUTS!$E$20)^2)</f>
        <v>14371.257600000003</v>
      </c>
      <c r="G10" s="319">
        <f>(TCO_CALCULATIONS!$D10*TCO_CALCULATIONS!K10+TCO_CALCULATIONS!$D11*TCO_CALCULATIONS!K11+TCO_CALCULATIONS!$D12*TCO_CALCULATIONS!K12)*((1+TCO_INPUTS!$E$20)^3)</f>
        <v>31329.341568000003</v>
      </c>
      <c r="H10" s="319">
        <f>(TCO_CALCULATIONS!$D10*TCO_CALCULATIONS!L10+TCO_CALCULATIONS!$D11*TCO_CALCULATIONS!L11+TCO_CALCULATIONS!$D12*TCO_CALCULATIONS!L12)*((1+TCO_INPUTS!$E$20)^4)</f>
        <v>85372.455772800022</v>
      </c>
      <c r="I10" s="321">
        <f t="shared" si="0"/>
        <v>138766.11094080002</v>
      </c>
      <c r="J10" s="3"/>
      <c r="K10" s="65"/>
      <c r="L10" s="3"/>
      <c r="M10" s="443"/>
      <c r="N10" s="443"/>
      <c r="O10" s="443"/>
      <c r="P10" s="443"/>
      <c r="Q10" s="443"/>
      <c r="R10" s="443"/>
      <c r="S10" s="459"/>
      <c r="T10" s="459"/>
      <c r="U10" s="443"/>
      <c r="V10" s="443"/>
      <c r="W10" s="443"/>
      <c r="X10" s="458"/>
    </row>
    <row r="11" spans="1:24">
      <c r="A11" s="65"/>
      <c r="B11" s="94" t="s">
        <v>82</v>
      </c>
      <c r="C11" s="123"/>
      <c r="D11" s="317">
        <f>SUM(D12:D19)</f>
        <v>2439</v>
      </c>
      <c r="E11" s="317">
        <f>SUM(E12:E19)</f>
        <v>3716.8128000000006</v>
      </c>
      <c r="F11" s="317">
        <f>SUM(F12:F19)</f>
        <v>11000.427804000003</v>
      </c>
      <c r="G11" s="317">
        <f t="shared" ref="G11:H11" si="1">SUM(G12:G19)</f>
        <v>22079.726438400005</v>
      </c>
      <c r="H11" s="317">
        <f t="shared" si="1"/>
        <v>65348.041369662009</v>
      </c>
      <c r="I11" s="322">
        <f t="shared" si="0"/>
        <v>104584.00841206202</v>
      </c>
      <c r="J11" s="3"/>
      <c r="K11" s="65"/>
      <c r="L11" s="3"/>
      <c r="M11" s="443"/>
      <c r="N11" s="443"/>
      <c r="O11" s="443"/>
      <c r="P11" s="443"/>
      <c r="Q11" s="443"/>
      <c r="R11" s="443"/>
      <c r="S11" s="459"/>
      <c r="T11" s="459"/>
      <c r="U11" s="443"/>
      <c r="V11" s="443"/>
      <c r="W11" s="443"/>
      <c r="X11" s="458"/>
    </row>
    <row r="12" spans="1:24">
      <c r="A12" s="65"/>
      <c r="B12" s="206" t="s">
        <v>100</v>
      </c>
      <c r="C12" s="203"/>
      <c r="D12" s="204">
        <f>TCO_CALCULATIONS!H9*TCO_CALCULATIONS!$D14</f>
        <v>800</v>
      </c>
      <c r="E12" s="204">
        <f>TCO_CALCULATIONS!I9*TCO_CALCULATIONS!$D14*(1+TCO_INPUTS!$E$20)</f>
        <v>1744.0000000000002</v>
      </c>
      <c r="F12" s="204">
        <f>TCO_CALCULATIONS!J9*TCO_CALCULATIONS!$D14*((1+TCO_INPUTS!$E$20)^2)</f>
        <v>4752.4000000000005</v>
      </c>
      <c r="G12" s="204">
        <f>TCO_CALCULATIONS!K9*TCO_CALCULATIONS!$D14*((1+TCO_INPUTS!$E$20)^3)</f>
        <v>10360.232000000002</v>
      </c>
      <c r="H12" s="204">
        <f>TCO_CALCULATIONS!L9*TCO_CALCULATIONS!$D14*((1+TCO_INPUTS!$E$20)^4)</f>
        <v>28231.632200000004</v>
      </c>
      <c r="I12" s="208">
        <f t="shared" si="0"/>
        <v>45888.264200000005</v>
      </c>
      <c r="J12" s="3"/>
      <c r="K12" s="65"/>
      <c r="L12" s="3"/>
      <c r="M12" s="443"/>
      <c r="N12" s="443"/>
      <c r="O12" s="443"/>
      <c r="P12" s="443"/>
      <c r="Q12" s="443"/>
      <c r="R12" s="443"/>
      <c r="S12" s="459"/>
      <c r="T12" s="459"/>
      <c r="U12" s="443"/>
      <c r="V12" s="443"/>
      <c r="W12" s="443"/>
      <c r="X12" s="458"/>
    </row>
    <row r="13" spans="1:24">
      <c r="A13" s="65"/>
      <c r="B13" s="206" t="s">
        <v>45</v>
      </c>
      <c r="C13" s="203"/>
      <c r="D13" s="204">
        <f>TCO_CALCULATIONS!H10*TCO_CALCULATIONS!$D15</f>
        <v>3</v>
      </c>
      <c r="E13" s="204">
        <f>TCO_CALCULATIONS!I10*TCO_CALCULATIONS!$D15*(1+TCO_INPUTS!$E$20)</f>
        <v>6.5400000000000009</v>
      </c>
      <c r="F13" s="204">
        <f>TCO_CALCULATIONS!J10*TCO_CALCULATIONS!$D15*((1+TCO_INPUTS!$E$20)^2)</f>
        <v>17.821500000000004</v>
      </c>
      <c r="G13" s="204">
        <f>TCO_CALCULATIONS!K10*TCO_CALCULATIONS!$D15*((1+TCO_INPUTS!$E$20)^3)</f>
        <v>38.850870000000008</v>
      </c>
      <c r="H13" s="204">
        <f>TCO_CALCULATIONS!L10*TCO_CALCULATIONS!$D15*((1+TCO_INPUTS!$E$20)^4)</f>
        <v>105.86862075000002</v>
      </c>
      <c r="I13" s="208">
        <f t="shared" si="0"/>
        <v>172.08099075000004</v>
      </c>
      <c r="J13" s="3"/>
      <c r="K13" s="65"/>
      <c r="L13" s="3"/>
      <c r="M13" s="443"/>
      <c r="N13" s="443"/>
      <c r="O13" s="443"/>
      <c r="P13" s="443"/>
      <c r="Q13" s="443"/>
      <c r="R13" s="443"/>
      <c r="S13" s="459"/>
      <c r="T13" s="459"/>
      <c r="U13" s="443"/>
      <c r="V13" s="443"/>
      <c r="W13" s="443"/>
      <c r="X13" s="458"/>
    </row>
    <row r="14" spans="1:24">
      <c r="A14" s="65"/>
      <c r="B14" s="206" t="s">
        <v>46</v>
      </c>
      <c r="C14" s="203"/>
      <c r="D14" s="204">
        <f>TCO_CALCULATIONS!H11*TCO_CALCULATIONS!$D16</f>
        <v>4.8000000000000007</v>
      </c>
      <c r="E14" s="204">
        <f>TCO_CALCULATIONS!I11*TCO_CALCULATIONS!$D16*(1+TCO_INPUTS!$E$20)</f>
        <v>10.464000000000002</v>
      </c>
      <c r="F14" s="204">
        <f>TCO_CALCULATIONS!J11*TCO_CALCULATIONS!$D16*((1+TCO_INPUTS!$E$20)^2)</f>
        <v>28.514400000000002</v>
      </c>
      <c r="G14" s="204">
        <f>TCO_CALCULATIONS!K11*TCO_CALCULATIONS!$D16*((1+TCO_INPUTS!$E$20)^3)</f>
        <v>62.161392000000006</v>
      </c>
      <c r="H14" s="204">
        <f>TCO_CALCULATIONS!L11*TCO_CALCULATIONS!$D16*((1+TCO_INPUTS!$E$20)^4)</f>
        <v>169.38979320000004</v>
      </c>
      <c r="I14" s="208">
        <f t="shared" si="0"/>
        <v>275.32958520000005</v>
      </c>
      <c r="J14" s="3"/>
      <c r="K14" s="65"/>
      <c r="L14" s="3"/>
      <c r="M14" s="443"/>
      <c r="N14" s="443"/>
      <c r="O14" s="443"/>
      <c r="P14" s="443"/>
      <c r="Q14" s="443"/>
      <c r="R14" s="443"/>
      <c r="S14" s="459"/>
      <c r="T14" s="459"/>
      <c r="U14" s="443"/>
      <c r="V14" s="443"/>
      <c r="W14" s="443"/>
      <c r="X14" s="458"/>
    </row>
    <row r="15" spans="1:24">
      <c r="A15" s="65"/>
      <c r="B15" s="438" t="s">
        <v>135</v>
      </c>
      <c r="C15" s="203"/>
      <c r="D15" s="204">
        <f>TCO_CALCULATIONS!H12*TCO_CALCULATIONS!$D17</f>
        <v>0</v>
      </c>
      <c r="E15" s="204">
        <f>TCO_CALCULATIONS!I12*TCO_CALCULATIONS!$D17*(1+TCO_INPUTS!$E$20)</f>
        <v>0</v>
      </c>
      <c r="F15" s="204">
        <f>TCO_CALCULATIONS!J12*TCO_CALCULATIONS!$D17*((1+TCO_INPUTS!$E$20)^2)</f>
        <v>0</v>
      </c>
      <c r="G15" s="204">
        <f>TCO_CALCULATIONS!K12*TCO_CALCULATIONS!$D17*((1+TCO_INPUTS!$E$20)^3)</f>
        <v>0</v>
      </c>
      <c r="H15" s="204">
        <f>TCO_CALCULATIONS!L12*TCO_CALCULATIONS!$D17*((1+TCO_INPUTS!$E$20)^4)</f>
        <v>0</v>
      </c>
      <c r="I15" s="208"/>
      <c r="J15" s="3"/>
      <c r="K15" s="65"/>
      <c r="L15" s="3"/>
      <c r="M15" s="443"/>
      <c r="N15" s="443"/>
      <c r="O15" s="443"/>
      <c r="P15" s="443"/>
      <c r="Q15" s="443"/>
      <c r="R15" s="443"/>
      <c r="S15" s="459"/>
      <c r="T15" s="459"/>
      <c r="U15" s="443"/>
      <c r="V15" s="443"/>
      <c r="W15" s="443"/>
      <c r="X15" s="458"/>
    </row>
    <row r="16" spans="1:24">
      <c r="A16" s="65"/>
      <c r="B16" s="206" t="s">
        <v>101</v>
      </c>
      <c r="C16" s="203"/>
      <c r="D16" s="204">
        <f>TCO_CALCULATIONS!H18*TCO_CALCULATIONS!$D18</f>
        <v>1600</v>
      </c>
      <c r="E16" s="204">
        <f>TCO_CALCULATIONS!I18*TCO_CALCULATIONS!$D18*(1+TCO_INPUTS!$E$20)</f>
        <v>1918.4</v>
      </c>
      <c r="F16" s="204">
        <f>TCO_CALCULATIONS!J18*TCO_CALCULATIONS!$D18*((1+TCO_INPUTS!$E$20)^2)</f>
        <v>6083.072000000001</v>
      </c>
      <c r="G16" s="204">
        <f>TCO_CALCULATIONS!K18*TCO_CALCULATIONS!$D18*((1+TCO_INPUTS!$E$20)^3)</f>
        <v>11396.255200000001</v>
      </c>
      <c r="H16" s="204">
        <f>TCO_CALCULATIONS!L18*TCO_CALCULATIONS!$D18*((1+TCO_INPUTS!$E$20)^4)</f>
        <v>36136.489216000009</v>
      </c>
      <c r="I16" s="208">
        <f t="shared" si="0"/>
        <v>57134.21641600001</v>
      </c>
      <c r="J16" s="3"/>
      <c r="K16" s="65"/>
      <c r="L16" s="3"/>
      <c r="M16" s="443"/>
      <c r="N16" s="443"/>
      <c r="O16" s="443"/>
      <c r="P16" s="443"/>
      <c r="Q16" s="443"/>
      <c r="R16" s="443"/>
      <c r="S16" s="459"/>
      <c r="T16" s="459"/>
      <c r="U16" s="443"/>
      <c r="V16" s="443"/>
      <c r="W16" s="443"/>
      <c r="X16" s="458"/>
    </row>
    <row r="17" spans="1:24">
      <c r="A17" s="65"/>
      <c r="B17" s="206" t="s">
        <v>47</v>
      </c>
      <c r="C17" s="203"/>
      <c r="D17" s="204">
        <f>TCO_CALCULATIONS!H19*TCO_CALCULATIONS!$D19</f>
        <v>12</v>
      </c>
      <c r="E17" s="204">
        <f>TCO_CALCULATIONS!I19*TCO_CALCULATIONS!$D19*(1+TCO_INPUTS!$E$20)</f>
        <v>14.388000000000002</v>
      </c>
      <c r="F17" s="204">
        <f>TCO_CALCULATIONS!J19*TCO_CALCULATIONS!$D19*((1+TCO_INPUTS!$E$20)^2)</f>
        <v>45.623040000000003</v>
      </c>
      <c r="G17" s="204">
        <f>TCO_CALCULATIONS!K19*TCO_CALCULATIONS!$D19*((1+TCO_INPUTS!$E$20)^3)</f>
        <v>85.471914000000012</v>
      </c>
      <c r="H17" s="204">
        <f>TCO_CALCULATIONS!L19*TCO_CALCULATIONS!$D19*((1+TCO_INPUTS!$E$20)^4)</f>
        <v>271.02366912000002</v>
      </c>
      <c r="I17" s="208">
        <f t="shared" si="0"/>
        <v>428.50662312000003</v>
      </c>
      <c r="J17" s="3"/>
      <c r="K17" s="65"/>
      <c r="L17" s="3"/>
      <c r="M17" s="443"/>
      <c r="N17" s="443"/>
      <c r="O17" s="443"/>
      <c r="P17" s="443"/>
      <c r="Q17" s="443"/>
      <c r="R17" s="443"/>
      <c r="S17" s="459"/>
      <c r="T17" s="459"/>
      <c r="U17" s="443"/>
      <c r="V17" s="443"/>
      <c r="W17" s="443"/>
      <c r="X17" s="458"/>
    </row>
    <row r="18" spans="1:24">
      <c r="A18" s="65"/>
      <c r="B18" s="206" t="s">
        <v>48</v>
      </c>
      <c r="C18" s="203"/>
      <c r="D18" s="204">
        <f>TCO_CALCULATIONS!H20*TCO_CALCULATIONS!$D20</f>
        <v>19.200000000000003</v>
      </c>
      <c r="E18" s="204">
        <f>TCO_CALCULATIONS!I20*TCO_CALCULATIONS!$D20*(1+TCO_INPUTS!$E$20)</f>
        <v>23.020800000000008</v>
      </c>
      <c r="F18" s="204">
        <f>TCO_CALCULATIONS!J20*TCO_CALCULATIONS!$D20*((1+TCO_INPUTS!$E$20)^2)</f>
        <v>72.996864000000002</v>
      </c>
      <c r="G18" s="204">
        <f>TCO_CALCULATIONS!K20*TCO_CALCULATIONS!$D20*((1+TCO_INPUTS!$E$20)^3)</f>
        <v>136.75506240000004</v>
      </c>
      <c r="H18" s="204">
        <f>TCO_CALCULATIONS!L20*TCO_CALCULATIONS!$D20*((1+TCO_INPUTS!$E$20)^4)</f>
        <v>433.63787059200013</v>
      </c>
      <c r="I18" s="208">
        <f>SUM(D18:H18)</f>
        <v>685.61059699200018</v>
      </c>
      <c r="J18" s="3"/>
      <c r="K18" s="65"/>
      <c r="L18" s="3"/>
      <c r="M18" s="443"/>
      <c r="N18" s="443"/>
      <c r="O18" s="443"/>
      <c r="P18" s="443"/>
      <c r="Q18" s="443"/>
      <c r="R18" s="443"/>
      <c r="S18" s="459"/>
      <c r="T18" s="459"/>
      <c r="U18" s="443"/>
      <c r="V18" s="443"/>
      <c r="W18" s="443"/>
      <c r="X18" s="458"/>
    </row>
    <row r="19" spans="1:24">
      <c r="A19" s="65"/>
      <c r="B19" s="440" t="s">
        <v>140</v>
      </c>
      <c r="C19" s="205"/>
      <c r="D19" s="201">
        <f>TCO_CALCULATIONS!H21*TCO_CALCULATIONS!$D21</f>
        <v>0</v>
      </c>
      <c r="E19" s="201">
        <f>TCO_CALCULATIONS!I21*TCO_CALCULATIONS!$D21*(1+TCO_INPUTS!$E$20)</f>
        <v>0</v>
      </c>
      <c r="F19" s="201">
        <f>TCO_CALCULATIONS!J21*TCO_CALCULATIONS!$D21*((1+TCO_INPUTS!$E$20)^2)</f>
        <v>0</v>
      </c>
      <c r="G19" s="201">
        <f>TCO_CALCULATIONS!K21*TCO_CALCULATIONS!$D21*((1+TCO_INPUTS!$E$20)^3)</f>
        <v>0</v>
      </c>
      <c r="H19" s="201">
        <f>TCO_CALCULATIONS!L21*TCO_CALCULATIONS!$D21*((1+TCO_INPUTS!$E$20)^4)</f>
        <v>0</v>
      </c>
      <c r="I19" s="202">
        <f>SUM(D19:H19)</f>
        <v>0</v>
      </c>
      <c r="J19" s="3"/>
      <c r="K19" s="65"/>
      <c r="L19" s="3"/>
      <c r="M19" s="443"/>
      <c r="N19" s="443"/>
      <c r="O19" s="443"/>
      <c r="P19" s="443"/>
      <c r="Q19" s="443"/>
      <c r="R19" s="443"/>
      <c r="S19" s="459"/>
      <c r="T19" s="459"/>
      <c r="U19" s="443"/>
      <c r="V19" s="443"/>
      <c r="W19" s="443"/>
      <c r="X19" s="458"/>
    </row>
    <row r="20" spans="1:24">
      <c r="A20" s="65"/>
      <c r="B20" s="209" t="s">
        <v>27</v>
      </c>
      <c r="C20" s="210"/>
      <c r="D20" s="320">
        <f>TCO_CALCULATIONS!$D22</f>
        <v>300</v>
      </c>
      <c r="E20" s="320">
        <f>TCO_CALCULATIONS!$D22*(1+TCO_INPUTS!$E$20)</f>
        <v>327</v>
      </c>
      <c r="F20" s="320">
        <f>TCO_CALCULATIONS!$D22*((1+TCO_INPUTS!$E$20)^2)</f>
        <v>356.43000000000006</v>
      </c>
      <c r="G20" s="320">
        <f>TCO_CALCULATIONS!$D22*((1+TCO_INPUTS!$E$20)^3)</f>
        <v>388.50870000000009</v>
      </c>
      <c r="H20" s="320">
        <f>TCO_CALCULATIONS!$D22*((1+TCO_INPUTS!$E$20)^4)</f>
        <v>423.47448300000008</v>
      </c>
      <c r="I20" s="323">
        <f t="shared" si="0"/>
        <v>1795.4131830000001</v>
      </c>
      <c r="J20" s="3"/>
      <c r="K20" s="65"/>
      <c r="L20" s="3"/>
      <c r="M20" s="443"/>
      <c r="N20" s="443"/>
      <c r="O20" s="443"/>
      <c r="P20" s="443"/>
      <c r="Q20" s="443"/>
      <c r="R20" s="443"/>
      <c r="S20" s="459"/>
      <c r="T20" s="459"/>
      <c r="U20" s="443"/>
      <c r="V20" s="443"/>
      <c r="W20" s="443"/>
      <c r="X20" s="458"/>
    </row>
    <row r="21" spans="1:24">
      <c r="A21" s="65"/>
      <c r="B21" s="209" t="s">
        <v>143</v>
      </c>
      <c r="C21" s="210"/>
      <c r="D21" s="320">
        <f>TCO_INPUTS!E87*12</f>
        <v>4224</v>
      </c>
      <c r="E21" s="320">
        <f>TCO_INPUTS!F87*12</f>
        <v>6000</v>
      </c>
      <c r="F21" s="320">
        <f>TCO_INPUTS!G87*12</f>
        <v>12072</v>
      </c>
      <c r="G21" s="320">
        <f>TCO_INPUTS!H87*12</f>
        <v>24144</v>
      </c>
      <c r="H21" s="320">
        <f>TCO_INPUTS!I87*12</f>
        <v>27000</v>
      </c>
      <c r="I21" s="324">
        <f t="shared" si="0"/>
        <v>73440</v>
      </c>
      <c r="J21" s="3"/>
      <c r="K21" s="65"/>
      <c r="L21" s="3"/>
      <c r="M21" s="443"/>
      <c r="N21" s="443"/>
      <c r="O21" s="443"/>
      <c r="P21" s="443"/>
      <c r="Q21" s="443"/>
      <c r="R21" s="443"/>
      <c r="S21" s="459"/>
      <c r="T21" s="459"/>
      <c r="U21" s="443"/>
      <c r="V21" s="443"/>
      <c r="W21" s="443"/>
      <c r="X21" s="458"/>
    </row>
    <row r="22" spans="1:24">
      <c r="A22" s="65"/>
      <c r="B22" s="94"/>
      <c r="C22" s="123"/>
      <c r="D22" s="151"/>
      <c r="E22" s="151"/>
      <c r="F22" s="151"/>
      <c r="G22" s="151"/>
      <c r="H22" s="151"/>
      <c r="I22" s="168"/>
      <c r="J22" s="3"/>
      <c r="K22" s="65"/>
      <c r="L22" s="3"/>
      <c r="M22" s="443"/>
      <c r="N22" s="443"/>
      <c r="O22" s="443"/>
      <c r="P22" s="443"/>
      <c r="Q22" s="443"/>
      <c r="R22" s="443"/>
      <c r="S22" s="459"/>
      <c r="T22" s="459"/>
      <c r="U22" s="443"/>
      <c r="V22" s="443"/>
      <c r="W22" s="443"/>
      <c r="X22" s="458"/>
    </row>
    <row r="23" spans="1:24" ht="15" thickBot="1">
      <c r="A23" s="65"/>
      <c r="B23" s="5" t="s">
        <v>6</v>
      </c>
      <c r="C23" s="124"/>
      <c r="D23" s="152">
        <f>SUM(D20:D22,D11,D9:D10)</f>
        <v>10582.2</v>
      </c>
      <c r="E23" s="152">
        <f>SUM(E20:E22,E11,E9:E10)</f>
        <v>17933.668799999999</v>
      </c>
      <c r="F23" s="152">
        <f>SUM(F20:F22,F11,F9:F10)</f>
        <v>44928.71540400001</v>
      </c>
      <c r="G23" s="152">
        <f>SUM(G20:G22,G11,G9:G10)</f>
        <v>93481.924706400008</v>
      </c>
      <c r="H23" s="152">
        <f>SUM(H20:H22,H11,H9:H10)</f>
        <v>220491.41992546205</v>
      </c>
      <c r="I23" s="169">
        <f t="shared" si="0"/>
        <v>387417.92883586208</v>
      </c>
      <c r="J23" s="3"/>
      <c r="K23" s="65"/>
      <c r="L23" s="3"/>
      <c r="M23" s="443"/>
      <c r="N23" s="443"/>
      <c r="O23" s="443"/>
      <c r="P23" s="443"/>
      <c r="Q23" s="443"/>
      <c r="R23" s="443"/>
      <c r="S23" s="459"/>
      <c r="T23" s="459"/>
      <c r="U23" s="443"/>
      <c r="V23" s="443"/>
      <c r="W23" s="443"/>
      <c r="X23" s="458"/>
    </row>
    <row r="24" spans="1:24" ht="15" thickTop="1">
      <c r="A24" s="65"/>
      <c r="B24" s="6"/>
      <c r="C24" s="7"/>
      <c r="D24" s="153"/>
      <c r="E24" s="170"/>
      <c r="F24" s="170"/>
      <c r="G24" s="170"/>
      <c r="H24" s="170"/>
      <c r="I24" s="171"/>
      <c r="J24" s="3"/>
      <c r="K24" s="65"/>
      <c r="L24" s="3"/>
      <c r="M24" s="443"/>
      <c r="N24" s="443"/>
      <c r="O24" s="443"/>
      <c r="P24" s="443"/>
      <c r="Q24" s="443"/>
      <c r="R24" s="443"/>
      <c r="S24" s="459"/>
      <c r="T24" s="459"/>
      <c r="U24" s="443"/>
      <c r="V24" s="443"/>
      <c r="W24" s="443"/>
      <c r="X24" s="458"/>
    </row>
    <row r="25" spans="1:24">
      <c r="A25" s="65"/>
      <c r="B25" s="4" t="s">
        <v>7</v>
      </c>
      <c r="C25" s="113"/>
      <c r="D25" s="154"/>
      <c r="E25" s="154"/>
      <c r="F25" s="154"/>
      <c r="G25" s="154"/>
      <c r="H25" s="154"/>
      <c r="I25" s="172"/>
      <c r="J25" s="3"/>
      <c r="K25" s="65"/>
      <c r="L25" s="3"/>
      <c r="M25" s="443"/>
      <c r="N25" s="443"/>
      <c r="O25" s="443"/>
      <c r="P25" s="443"/>
      <c r="Q25" s="443"/>
      <c r="R25" s="443"/>
      <c r="S25" s="366"/>
      <c r="T25" s="366"/>
      <c r="U25" s="443"/>
      <c r="V25" s="443"/>
      <c r="W25" s="443"/>
      <c r="X25" s="458"/>
    </row>
    <row r="26" spans="1:24">
      <c r="A26" s="65"/>
      <c r="B26" s="93" t="str">
        <f>TCO_CALCULATIONS!F27</f>
        <v>Mobile Phones</v>
      </c>
      <c r="C26" s="122"/>
      <c r="D26" s="155">
        <f>TCO_CALCULATIONS!H27*TCO_CALCULATIONS!$D27</f>
        <v>9500</v>
      </c>
      <c r="E26" s="155">
        <f>TCO_CALCULATIONS!I27*TCO_CALCULATIONS!$D27*(1+TCO_INPUTS!$E$20)</f>
        <v>11494.050000000001</v>
      </c>
      <c r="F26" s="155">
        <f>TCO_CALCULATIONS!J27*TCO_CALCULATIONS!$D27*((1+TCO_INPUTS!$E$20)^2)</f>
        <v>36343.979000000007</v>
      </c>
      <c r="G26" s="155">
        <f>TCO_CALCULATIONS!K27*TCO_CALCULATIONS!$D27*((1+TCO_INPUTS!$E$20)^3)</f>
        <v>68034.348515000005</v>
      </c>
      <c r="H26" s="155">
        <f>TCO_CALCULATIONS!L27*TCO_CALCULATIONS!$D27*((1+TCO_INPUTS!$E$20)^4)</f>
        <v>215767.30699655003</v>
      </c>
      <c r="I26" s="168">
        <f t="shared" ref="I26:I32" si="2">SUM(D26:H26)</f>
        <v>341139.68451155006</v>
      </c>
      <c r="J26" s="3"/>
      <c r="K26" s="65"/>
      <c r="L26" s="12"/>
      <c r="M26" s="366"/>
      <c r="N26" s="366"/>
      <c r="O26" s="366"/>
      <c r="P26" s="366"/>
      <c r="Q26" s="366"/>
      <c r="R26" s="366"/>
      <c r="S26" s="366"/>
      <c r="T26" s="366"/>
      <c r="U26" s="443"/>
      <c r="V26" s="443"/>
      <c r="W26" s="443"/>
      <c r="X26" s="458"/>
    </row>
    <row r="27" spans="1:24">
      <c r="A27" s="65"/>
      <c r="B27" s="93" t="s">
        <v>34</v>
      </c>
      <c r="C27" s="122"/>
      <c r="D27" s="155">
        <f>TCO_CALCULATIONS!H28*TCO_CALCULATIONS!$D28</f>
        <v>20000</v>
      </c>
      <c r="E27" s="155">
        <f>TCO_CALCULATIONS!I28*TCO_CALCULATIONS!$D28*(1+TCO_INPUTS!$E$20)</f>
        <v>23980</v>
      </c>
      <c r="F27" s="155">
        <f>TCO_CALCULATIONS!J28*TCO_CALCULATIONS!$D28*((1+TCO_INPUTS!$E$20)^2)</f>
        <v>76038.400000000009</v>
      </c>
      <c r="G27" s="155">
        <f>TCO_CALCULATIONS!K28*TCO_CALCULATIONS!$D28*((1+TCO_INPUTS!$E$20)^3)</f>
        <v>142453.19000000003</v>
      </c>
      <c r="H27" s="155">
        <f>TCO_CALCULATIONS!L28*TCO_CALCULATIONS!$D28*((1+TCO_INPUTS!$E$20)^4)</f>
        <v>451706.11520000006</v>
      </c>
      <c r="I27" s="168">
        <f t="shared" si="2"/>
        <v>714177.70520000008</v>
      </c>
      <c r="J27" s="3"/>
      <c r="K27" s="65"/>
      <c r="L27" s="12"/>
      <c r="M27" s="366"/>
      <c r="N27" s="366"/>
      <c r="O27" s="366"/>
      <c r="P27" s="366"/>
      <c r="Q27" s="366"/>
      <c r="R27" s="366"/>
      <c r="S27" s="366"/>
      <c r="T27" s="366"/>
      <c r="U27" s="443"/>
      <c r="V27" s="443"/>
      <c r="W27" s="443"/>
      <c r="X27" s="458"/>
    </row>
    <row r="28" spans="1:24">
      <c r="A28" s="65"/>
      <c r="B28" s="93" t="s">
        <v>212</v>
      </c>
      <c r="C28" s="122"/>
      <c r="D28" s="155">
        <f>TCO_CALCULATIONS!H33*TCO_INPUTS!$G$73</f>
        <v>0</v>
      </c>
      <c r="E28" s="155">
        <f>TCO_CALCULATIONS!I33*TCO_INPUTS!$G$73*(1+TCO_INPUTS!$E$20)</f>
        <v>0</v>
      </c>
      <c r="F28" s="155">
        <f>TCO_CALCULATIONS!J33*TCO_INPUTS!$G$73*((1+TCO_INPUTS!$E$20)^2)</f>
        <v>0</v>
      </c>
      <c r="G28" s="155">
        <f>TCO_CALCULATIONS!K33*TCO_INPUTS!$G$73*((1+TCO_INPUTS!$E$20)^3)</f>
        <v>0</v>
      </c>
      <c r="H28" s="155">
        <f>TCO_CALCULATIONS!L33*TCO_INPUTS!$G$73*((1+TCO_INPUTS!$E$20)^4)</f>
        <v>0</v>
      </c>
      <c r="I28" s="168">
        <f t="shared" si="2"/>
        <v>0</v>
      </c>
      <c r="J28" s="3"/>
      <c r="K28" s="65"/>
      <c r="L28" s="12"/>
      <c r="M28" s="366"/>
      <c r="N28" s="366"/>
      <c r="O28" s="366"/>
      <c r="P28" s="366"/>
      <c r="Q28" s="366"/>
      <c r="R28" s="366"/>
      <c r="S28" s="366"/>
      <c r="T28" s="366"/>
      <c r="U28" s="443"/>
      <c r="V28" s="443"/>
      <c r="W28" s="443"/>
      <c r="X28" s="458"/>
    </row>
    <row r="29" spans="1:24">
      <c r="A29" s="65"/>
      <c r="B29" s="316" t="s">
        <v>213</v>
      </c>
      <c r="C29" s="122"/>
      <c r="D29" s="155">
        <f>TCO_CALCULATIONS!H34*TCO_INPUTS!$G$73</f>
        <v>0</v>
      </c>
      <c r="E29" s="155">
        <f>TCO_CALCULATIONS!I34*TCO_INPUTS!$G$73*(1+TCO_INPUTS!$E$20)</f>
        <v>0</v>
      </c>
      <c r="F29" s="155">
        <f>TCO_CALCULATIONS!J34*TCO_INPUTS!$G$73*((1+TCO_INPUTS!$E$20)^2)</f>
        <v>0</v>
      </c>
      <c r="G29" s="155">
        <f>TCO_CALCULATIONS!K34*TCO_INPUTS!$G$73*((1+TCO_INPUTS!$E$20)^3)</f>
        <v>0</v>
      </c>
      <c r="H29" s="155">
        <f>TCO_CALCULATIONS!L34*TCO_INPUTS!$G$73*((1+TCO_INPUTS!$E$20)^4)</f>
        <v>0</v>
      </c>
      <c r="I29" s="168">
        <f t="shared" si="2"/>
        <v>0</v>
      </c>
      <c r="J29" s="3"/>
      <c r="K29" s="65"/>
      <c r="L29" s="12"/>
      <c r="M29" s="366"/>
      <c r="N29" s="366"/>
      <c r="O29" s="366"/>
      <c r="P29" s="366"/>
      <c r="Q29" s="366"/>
      <c r="R29" s="366"/>
      <c r="S29" s="366"/>
      <c r="T29" s="366"/>
      <c r="U29" s="443"/>
      <c r="V29" s="443"/>
      <c r="W29" s="443"/>
      <c r="X29" s="458"/>
    </row>
    <row r="30" spans="1:24">
      <c r="A30" s="65"/>
      <c r="B30" s="439" t="s">
        <v>214</v>
      </c>
      <c r="C30" s="122"/>
      <c r="D30" s="155">
        <f>TCO_CALCULATIONS!H35*TCO_INPUTS!$G$73</f>
        <v>0</v>
      </c>
      <c r="E30" s="155">
        <f>TCO_CALCULATIONS!I35*TCO_INPUTS!$G$73*(1+TCO_INPUTS!$E$20)</f>
        <v>0</v>
      </c>
      <c r="F30" s="155">
        <f>TCO_CALCULATIONS!J35*TCO_INPUTS!$G$73*((1+TCO_INPUTS!$E$20)^2)</f>
        <v>0</v>
      </c>
      <c r="G30" s="155">
        <f>TCO_CALCULATIONS!K35*TCO_INPUTS!$G$73*((1+TCO_INPUTS!$E$20)^3)</f>
        <v>0</v>
      </c>
      <c r="H30" s="155">
        <f>TCO_CALCULATIONS!L35*TCO_INPUTS!$G$73*((1+TCO_INPUTS!$E$20)^4)</f>
        <v>0</v>
      </c>
      <c r="I30" s="168"/>
      <c r="J30" s="3"/>
      <c r="K30" s="65"/>
      <c r="L30" s="12"/>
      <c r="M30" s="366"/>
      <c r="N30" s="366"/>
      <c r="O30" s="366"/>
      <c r="P30" s="366"/>
      <c r="Q30" s="366"/>
      <c r="R30" s="366"/>
      <c r="S30" s="366"/>
      <c r="T30" s="366"/>
      <c r="U30" s="443"/>
      <c r="V30" s="443"/>
      <c r="W30" s="443"/>
      <c r="X30" s="458"/>
    </row>
    <row r="31" spans="1:24">
      <c r="A31" s="65"/>
      <c r="B31" s="316" t="s">
        <v>27</v>
      </c>
      <c r="C31" s="122"/>
      <c r="D31" s="155">
        <f>TCO_CALCULATIONS!$D32</f>
        <v>198</v>
      </c>
      <c r="E31" s="155">
        <f>$D31*TCO_INPUTS!$F$69*(1+TCO_INPUTS!$E$20)</f>
        <v>32.373000000000005</v>
      </c>
      <c r="F31" s="155">
        <f>$D31*TCO_INPUTS!$F$69*((1+TCO_INPUTS!$E$20)^2)</f>
        <v>35.286570000000005</v>
      </c>
      <c r="G31" s="155">
        <f>$D31*TCO_INPUTS!$F$69*((1+TCO_INPUTS!$E$20)^3)</f>
        <v>38.462361300000005</v>
      </c>
      <c r="H31" s="155">
        <f>$D31*TCO_INPUTS!$F$69*((1+TCO_INPUTS!$E$20)^4)</f>
        <v>41.923973817000004</v>
      </c>
      <c r="I31" s="168">
        <f t="shared" si="2"/>
        <v>346.04590511699996</v>
      </c>
      <c r="J31" s="3"/>
      <c r="K31" s="65"/>
      <c r="L31" s="3"/>
      <c r="M31" s="443"/>
      <c r="N31" s="443"/>
      <c r="O31" s="443"/>
      <c r="P31" s="443"/>
      <c r="Q31" s="443"/>
      <c r="R31" s="443"/>
      <c r="S31" s="366"/>
      <c r="T31" s="366"/>
      <c r="U31" s="443"/>
      <c r="V31" s="443"/>
      <c r="W31" s="443"/>
      <c r="X31" s="458"/>
    </row>
    <row r="32" spans="1:24" ht="15" thickBot="1">
      <c r="A32" s="65"/>
      <c r="B32" s="5" t="s">
        <v>142</v>
      </c>
      <c r="C32" s="124"/>
      <c r="D32" s="156">
        <f>SUM(D26:D31)</f>
        <v>29698</v>
      </c>
      <c r="E32" s="156">
        <f>SUM(E26:E31)</f>
        <v>35506.423000000003</v>
      </c>
      <c r="F32" s="156">
        <f>SUM(F26:F31)</f>
        <v>112417.66557000001</v>
      </c>
      <c r="G32" s="156">
        <f>SUM(G26:G31)</f>
        <v>210526.00087630001</v>
      </c>
      <c r="H32" s="173">
        <f>SUM(H26:H31)</f>
        <v>667515.34617036709</v>
      </c>
      <c r="I32" s="169">
        <f t="shared" si="2"/>
        <v>1055663.4356166671</v>
      </c>
      <c r="J32" s="3"/>
      <c r="K32" s="65"/>
      <c r="L32" s="3"/>
      <c r="M32" s="443"/>
      <c r="N32" s="443"/>
      <c r="O32" s="443"/>
      <c r="P32" s="443"/>
      <c r="Q32" s="443"/>
      <c r="R32" s="443"/>
      <c r="S32" s="366"/>
      <c r="T32" s="366"/>
      <c r="U32" s="443"/>
      <c r="V32" s="443"/>
      <c r="W32" s="443"/>
      <c r="X32" s="458"/>
    </row>
    <row r="33" spans="1:24" ht="15" thickTop="1">
      <c r="A33" s="65"/>
      <c r="B33" s="8"/>
      <c r="C33" s="78"/>
      <c r="D33" s="157"/>
      <c r="E33" s="157"/>
      <c r="F33" s="157"/>
      <c r="G33" s="157"/>
      <c r="H33" s="157"/>
      <c r="I33" s="174"/>
      <c r="J33" s="3"/>
      <c r="K33" s="65"/>
      <c r="L33" s="3"/>
      <c r="M33" s="443"/>
      <c r="N33" s="443"/>
      <c r="O33" s="443"/>
      <c r="P33" s="443"/>
      <c r="Q33" s="443"/>
      <c r="R33" s="443"/>
      <c r="S33" s="366"/>
      <c r="T33" s="366"/>
      <c r="U33" s="443"/>
      <c r="V33" s="443"/>
      <c r="W33" s="443"/>
      <c r="X33" s="458"/>
    </row>
    <row r="34" spans="1:24" ht="16" thickBot="1">
      <c r="A34" s="65"/>
      <c r="B34" s="9" t="s">
        <v>16</v>
      </c>
      <c r="C34" s="125"/>
      <c r="D34" s="158">
        <f>D23+D32</f>
        <v>40280.199999999997</v>
      </c>
      <c r="E34" s="158">
        <f>E23+E32</f>
        <v>53440.091800000002</v>
      </c>
      <c r="F34" s="158">
        <f>F23+F32</f>
        <v>157346.38097400003</v>
      </c>
      <c r="G34" s="158">
        <f>G23+G32</f>
        <v>304007.9255827</v>
      </c>
      <c r="H34" s="158">
        <f>H23+H32</f>
        <v>888006.7660958292</v>
      </c>
      <c r="I34" s="175">
        <f>SUM(D34:H34)</f>
        <v>1443081.3644525292</v>
      </c>
      <c r="J34" s="3"/>
      <c r="K34" s="65"/>
      <c r="L34" s="3"/>
      <c r="M34" s="443"/>
      <c r="N34" s="443"/>
      <c r="O34" s="443"/>
      <c r="P34" s="443"/>
      <c r="Q34" s="443"/>
      <c r="R34" s="443"/>
      <c r="S34" s="366"/>
      <c r="T34" s="366"/>
      <c r="U34" s="443"/>
      <c r="V34" s="443"/>
      <c r="W34" s="443"/>
      <c r="X34" s="458"/>
    </row>
    <row r="35" spans="1:24">
      <c r="A35" s="65"/>
      <c r="B35" s="12"/>
      <c r="C35" s="12"/>
      <c r="D35" s="148"/>
      <c r="E35" s="148"/>
      <c r="F35" s="148"/>
      <c r="G35" s="148"/>
      <c r="H35" s="148"/>
      <c r="I35" s="148"/>
      <c r="J35" s="3"/>
      <c r="K35" s="65"/>
      <c r="L35" s="3"/>
      <c r="M35" s="443"/>
      <c r="N35" s="443"/>
      <c r="O35" s="443"/>
      <c r="P35" s="443"/>
      <c r="Q35" s="443"/>
      <c r="R35" s="443"/>
      <c r="S35" s="366"/>
      <c r="T35" s="366"/>
      <c r="U35" s="443"/>
      <c r="V35" s="443"/>
      <c r="W35" s="443"/>
      <c r="X35" s="458"/>
    </row>
    <row r="36" spans="1:24" ht="15">
      <c r="A36" s="65"/>
      <c r="B36" s="92" t="s">
        <v>141</v>
      </c>
      <c r="C36" s="126"/>
      <c r="D36" s="311">
        <f>D34/TCO_CALCULATIONS!H37</f>
        <v>0.201401</v>
      </c>
      <c r="E36" s="311">
        <f>E34/TCO_CALCULATIONS!I37</f>
        <v>0.1336002295</v>
      </c>
      <c r="F36" s="311">
        <f>F34/TCO_CALCULATIONS!J37</f>
        <v>0.15734638097400003</v>
      </c>
      <c r="G36" s="311">
        <f>G34/TCO_CALCULATIONS!K37</f>
        <v>0.15200396279135001</v>
      </c>
      <c r="H36" s="312">
        <f>H34/TCO_CALCULATIONS!L37</f>
        <v>0.17760135321916584</v>
      </c>
      <c r="I36" s="148"/>
      <c r="J36" s="3"/>
      <c r="K36" s="65"/>
      <c r="L36" s="3"/>
      <c r="M36" s="443"/>
      <c r="N36" s="443"/>
      <c r="O36" s="443"/>
      <c r="P36" s="443"/>
      <c r="Q36" s="443"/>
      <c r="R36" s="443"/>
      <c r="S36" s="366"/>
      <c r="T36" s="366"/>
      <c r="U36" s="443"/>
      <c r="V36" s="443"/>
      <c r="W36" s="443"/>
      <c r="X36" s="458"/>
    </row>
    <row r="37" spans="1:24">
      <c r="A37" s="65"/>
      <c r="B37" s="12"/>
      <c r="C37" s="12"/>
      <c r="D37" s="148"/>
      <c r="E37" s="148"/>
      <c r="F37" s="148"/>
      <c r="G37" s="148"/>
      <c r="H37" s="148"/>
      <c r="I37" s="148"/>
      <c r="J37" s="3"/>
      <c r="K37" s="65"/>
      <c r="L37" s="12"/>
      <c r="M37" s="366"/>
      <c r="N37" s="366"/>
      <c r="O37" s="366"/>
      <c r="P37" s="366"/>
      <c r="Q37" s="366"/>
      <c r="R37" s="366"/>
      <c r="S37" s="366"/>
      <c r="T37" s="366"/>
      <c r="U37" s="443"/>
      <c r="V37" s="443"/>
      <c r="W37" s="443"/>
      <c r="X37" s="458"/>
    </row>
    <row r="38" spans="1:24" ht="18">
      <c r="A38" s="65"/>
      <c r="B38" s="181" t="s">
        <v>102</v>
      </c>
      <c r="C38" s="68"/>
      <c r="D38" s="148"/>
      <c r="E38" s="148"/>
      <c r="F38" s="148"/>
      <c r="G38" s="148"/>
      <c r="H38" s="148"/>
      <c r="I38" s="148"/>
      <c r="J38" s="12"/>
      <c r="K38" s="12"/>
      <c r="L38" s="12"/>
      <c r="M38" s="366"/>
      <c r="N38" s="366"/>
      <c r="O38" s="366"/>
      <c r="P38" s="366"/>
      <c r="Q38" s="366"/>
      <c r="R38" s="366"/>
      <c r="S38" s="366"/>
      <c r="T38" s="366"/>
      <c r="U38" s="443"/>
      <c r="V38" s="443"/>
      <c r="W38" s="443"/>
      <c r="X38" s="458"/>
    </row>
    <row r="39" spans="1:24" ht="15" thickBot="1">
      <c r="A39" s="65"/>
      <c r="B39" s="12"/>
      <c r="C39" s="12"/>
      <c r="D39" s="148"/>
      <c r="E39" s="148"/>
      <c r="F39" s="148"/>
      <c r="G39" s="148"/>
      <c r="H39" s="148"/>
      <c r="I39" s="148"/>
      <c r="J39" s="12"/>
      <c r="K39" s="12"/>
      <c r="L39" s="12"/>
      <c r="M39" s="366"/>
      <c r="N39" s="366"/>
      <c r="O39" s="366"/>
      <c r="P39" s="366"/>
      <c r="Q39" s="366"/>
      <c r="R39" s="366"/>
      <c r="S39" s="366"/>
      <c r="T39" s="366"/>
      <c r="U39" s="443"/>
      <c r="V39" s="443"/>
      <c r="W39" s="443"/>
      <c r="X39" s="458"/>
    </row>
    <row r="40" spans="1:24" ht="30" customHeight="1">
      <c r="A40" s="65"/>
      <c r="B40" s="484" t="s">
        <v>103</v>
      </c>
      <c r="C40" s="485"/>
      <c r="D40" s="73" t="str">
        <f>D7</f>
        <v>Year 1</v>
      </c>
      <c r="E40" s="73" t="str">
        <f>E7</f>
        <v>Year 2</v>
      </c>
      <c r="F40" s="73" t="str">
        <f>F7</f>
        <v>Year 3</v>
      </c>
      <c r="G40" s="73" t="str">
        <f>G7</f>
        <v>Year 4</v>
      </c>
      <c r="H40" s="73" t="str">
        <f>H7</f>
        <v>Year 5</v>
      </c>
      <c r="I40" s="71" t="s">
        <v>37</v>
      </c>
      <c r="J40" s="71" t="s">
        <v>11</v>
      </c>
      <c r="K40" s="12"/>
      <c r="L40" s="12"/>
      <c r="M40" s="366"/>
      <c r="N40" s="366"/>
      <c r="O40" s="366"/>
      <c r="P40" s="366"/>
      <c r="Q40" s="366"/>
      <c r="R40" s="366"/>
      <c r="S40" s="366"/>
      <c r="T40" s="366"/>
      <c r="U40" s="443"/>
      <c r="V40" s="443"/>
      <c r="W40" s="443"/>
      <c r="X40" s="458"/>
    </row>
    <row r="41" spans="1:24">
      <c r="A41" s="65"/>
      <c r="B41" s="106" t="str">
        <f>B9</f>
        <v>FLW - Data plans and add. salaries</v>
      </c>
      <c r="C41" s="127"/>
      <c r="D41" s="160">
        <f>D9/TCO_CALCULATIONS!H$9</f>
        <v>12</v>
      </c>
      <c r="E41" s="160">
        <f>E9/TCO_CALCULATIONS!I$9</f>
        <v>13.080000000000002</v>
      </c>
      <c r="F41" s="160">
        <f>F9/TCO_CALCULATIONS!J$9</f>
        <v>14.257200000000001</v>
      </c>
      <c r="G41" s="160">
        <f>G9/TCO_CALCULATIONS!K$9</f>
        <v>15.540348000000002</v>
      </c>
      <c r="H41" s="176">
        <f>H9/TCO_CALCULATIONS!L$9</f>
        <v>16.938979320000001</v>
      </c>
      <c r="I41" s="168">
        <f>AVERAGE(D41:H41)</f>
        <v>14.363305464000002</v>
      </c>
      <c r="J41" s="69">
        <f t="shared" ref="J41:J46" si="3">I41/$I$48</f>
        <v>4.3686520849289111E-2</v>
      </c>
      <c r="K41" s="12"/>
      <c r="L41" s="12"/>
      <c r="M41" s="366"/>
      <c r="N41" s="366"/>
      <c r="O41" s="366"/>
      <c r="P41" s="366"/>
      <c r="Q41" s="366"/>
      <c r="R41" s="366"/>
      <c r="S41" s="366"/>
      <c r="T41" s="366"/>
      <c r="U41" s="443"/>
      <c r="V41" s="443"/>
      <c r="W41" s="443"/>
      <c r="X41" s="458"/>
    </row>
    <row r="42" spans="1:24">
      <c r="A42" s="65"/>
      <c r="B42" s="95" t="str">
        <f>B10</f>
        <v>Staff &amp; Management - Data plan and salaries</v>
      </c>
      <c r="C42" s="128"/>
      <c r="D42" s="161">
        <f>D10/TCO_CALCULATIONS!H$9</f>
        <v>24.192000000000004</v>
      </c>
      <c r="E42" s="161">
        <f>E10/TCO_CALCULATIONS!I$9</f>
        <v>26.369280000000003</v>
      </c>
      <c r="F42" s="161">
        <f>F10/TCO_CALCULATIONS!J$9</f>
        <v>28.742515200000007</v>
      </c>
      <c r="G42" s="161">
        <f>G10/TCO_CALCULATIONS!K$9</f>
        <v>31.329341568000004</v>
      </c>
      <c r="H42" s="177">
        <f>H10/TCO_CALCULATIONS!L$9</f>
        <v>34.148982309120008</v>
      </c>
      <c r="I42" s="168">
        <f t="shared" ref="I42:I46" si="4">AVERAGE(D42:H42)</f>
        <v>28.956423815424007</v>
      </c>
      <c r="J42" s="69">
        <f t="shared" si="3"/>
        <v>8.8072026032166864E-2</v>
      </c>
      <c r="K42" s="12"/>
      <c r="L42" s="12"/>
      <c r="M42" s="366"/>
      <c r="N42" s="366"/>
      <c r="O42" s="366"/>
      <c r="P42" s="366"/>
      <c r="Q42" s="366"/>
      <c r="R42" s="366"/>
      <c r="S42" s="366"/>
      <c r="T42" s="366"/>
      <c r="U42" s="443"/>
      <c r="V42" s="443"/>
      <c r="W42" s="443"/>
      <c r="X42" s="458"/>
    </row>
    <row r="43" spans="1:24">
      <c r="A43" s="65"/>
      <c r="B43" s="95" t="str">
        <f>B11</f>
        <v>Trainings</v>
      </c>
      <c r="C43" s="128"/>
      <c r="D43" s="161">
        <f>(D11)/TCO_CALCULATIONS!H$9</f>
        <v>24.39</v>
      </c>
      <c r="E43" s="161">
        <f>(E11)/TCO_CALCULATIONS!I$9</f>
        <v>18.584064000000001</v>
      </c>
      <c r="F43" s="161">
        <f>(F11)/TCO_CALCULATIONS!J$9</f>
        <v>22.000855608000006</v>
      </c>
      <c r="G43" s="161">
        <f>(G11)/TCO_CALCULATIONS!K$9</f>
        <v>22.079726438400005</v>
      </c>
      <c r="H43" s="161">
        <f>(H11)/TCO_CALCULATIONS!L$9</f>
        <v>26.139216547864805</v>
      </c>
      <c r="I43" s="168">
        <f t="shared" si="4"/>
        <v>22.638772518852964</v>
      </c>
      <c r="J43" s="69">
        <f t="shared" si="3"/>
        <v>6.8856657691088105E-2</v>
      </c>
      <c r="K43" s="12"/>
      <c r="L43" s="12"/>
      <c r="M43" s="366"/>
      <c r="N43" s="366"/>
      <c r="O43" s="366"/>
      <c r="P43" s="366"/>
      <c r="Q43" s="366"/>
      <c r="R43" s="366"/>
      <c r="S43" s="366"/>
      <c r="T43" s="366"/>
      <c r="U43" s="443"/>
      <c r="V43" s="443"/>
      <c r="W43" s="443"/>
      <c r="X43" s="458"/>
    </row>
    <row r="44" spans="1:24">
      <c r="A44" s="65"/>
      <c r="B44" s="95" t="str">
        <f>B32</f>
        <v>Total Capital / Equipment</v>
      </c>
      <c r="C44" s="128"/>
      <c r="D44" s="161">
        <f>D32/TCO_CALCULATIONS!H$9</f>
        <v>296.98</v>
      </c>
      <c r="E44" s="161">
        <f>E32/TCO_CALCULATIONS!I$9</f>
        <v>177.532115</v>
      </c>
      <c r="F44" s="161">
        <f>F32/TCO_CALCULATIONS!J$9</f>
        <v>224.83533114000002</v>
      </c>
      <c r="G44" s="161">
        <f>G32/TCO_CALCULATIONS!K$9</f>
        <v>210.5260008763</v>
      </c>
      <c r="H44" s="177">
        <f>H32/TCO_CALCULATIONS!L$9</f>
        <v>267.00613846814684</v>
      </c>
      <c r="I44" s="168">
        <f t="shared" si="4"/>
        <v>235.37591709688937</v>
      </c>
      <c r="J44" s="69">
        <f t="shared" si="3"/>
        <v>0.7159044925589283</v>
      </c>
      <c r="K44" s="12"/>
      <c r="L44" s="12"/>
      <c r="M44" s="366"/>
      <c r="N44" s="366"/>
      <c r="O44" s="366"/>
      <c r="P44" s="366"/>
      <c r="Q44" s="366"/>
      <c r="R44" s="366"/>
      <c r="S44" s="366"/>
      <c r="T44" s="366"/>
      <c r="U44" s="443"/>
      <c r="V44" s="443"/>
      <c r="W44" s="443"/>
      <c r="X44" s="458"/>
    </row>
    <row r="45" spans="1:24">
      <c r="A45" s="65"/>
      <c r="B45" s="95" t="str">
        <f>B20</f>
        <v>Office expenses</v>
      </c>
      <c r="C45" s="128"/>
      <c r="D45" s="161">
        <f>D20/TCO_CALCULATIONS!H$9</f>
        <v>3</v>
      </c>
      <c r="E45" s="161">
        <f>E20/TCO_CALCULATIONS!I$9</f>
        <v>1.635</v>
      </c>
      <c r="F45" s="161">
        <f>F20/TCO_CALCULATIONS!J$9</f>
        <v>0.71286000000000016</v>
      </c>
      <c r="G45" s="161">
        <f>G20/TCO_CALCULATIONS!K$9</f>
        <v>0.3885087000000001</v>
      </c>
      <c r="H45" s="177">
        <f>H20/TCO_CALCULATIONS!L$9</f>
        <v>0.16938979320000003</v>
      </c>
      <c r="I45" s="168">
        <f t="shared" si="4"/>
        <v>1.1811516986399999</v>
      </c>
      <c r="J45" s="69">
        <f t="shared" si="3"/>
        <v>3.5925162517875977E-3</v>
      </c>
      <c r="K45" s="12"/>
      <c r="L45" s="12"/>
      <c r="M45" s="366"/>
      <c r="N45" s="366"/>
      <c r="O45" s="366"/>
      <c r="P45" s="366"/>
      <c r="Q45" s="366"/>
      <c r="R45" s="366"/>
      <c r="S45" s="366"/>
      <c r="T45" s="366"/>
      <c r="U45" s="443"/>
      <c r="V45" s="443"/>
      <c r="W45" s="443"/>
      <c r="X45" s="458"/>
    </row>
    <row r="46" spans="1:24">
      <c r="A46" s="65"/>
      <c r="B46" s="95" t="str">
        <f>B21</f>
        <v>Dimagi - CommCare hosting fees</v>
      </c>
      <c r="C46" s="128"/>
      <c r="D46" s="161">
        <f>D21/TCO_CALCULATIONS!H$9</f>
        <v>42.24</v>
      </c>
      <c r="E46" s="161">
        <f>E21/TCO_CALCULATIONS!I$9</f>
        <v>30</v>
      </c>
      <c r="F46" s="161">
        <f>F21/TCO_CALCULATIONS!J$9</f>
        <v>24.143999999999998</v>
      </c>
      <c r="G46" s="161">
        <f>G21/TCO_CALCULATIONS!K$9</f>
        <v>24.143999999999998</v>
      </c>
      <c r="H46" s="177">
        <f>H21/TCO_CALCULATIONS!L$9</f>
        <v>10.8</v>
      </c>
      <c r="I46" s="168">
        <f t="shared" si="4"/>
        <v>26.265600000000006</v>
      </c>
      <c r="J46" s="69">
        <f t="shared" si="3"/>
        <v>7.9887786616740036E-2</v>
      </c>
      <c r="K46" s="12"/>
      <c r="L46" s="12"/>
      <c r="M46" s="366"/>
      <c r="N46" s="366"/>
      <c r="O46" s="366"/>
      <c r="P46" s="366"/>
      <c r="Q46" s="366"/>
      <c r="R46" s="366"/>
      <c r="S46" s="366"/>
      <c r="T46" s="366"/>
      <c r="U46" s="443"/>
      <c r="V46" s="443"/>
      <c r="W46" s="443"/>
      <c r="X46" s="458"/>
    </row>
    <row r="47" spans="1:24">
      <c r="A47" s="65"/>
      <c r="B47" s="95"/>
      <c r="C47" s="128"/>
      <c r="D47" s="161"/>
      <c r="E47" s="161"/>
      <c r="F47" s="161"/>
      <c r="G47" s="161"/>
      <c r="H47" s="177"/>
      <c r="I47" s="168"/>
      <c r="J47" s="69"/>
      <c r="K47" s="12"/>
      <c r="L47" s="12"/>
      <c r="M47" s="366"/>
      <c r="N47" s="366"/>
      <c r="O47" s="366"/>
      <c r="P47" s="366"/>
      <c r="Q47" s="366"/>
      <c r="R47" s="366"/>
      <c r="S47" s="366"/>
      <c r="T47" s="366"/>
      <c r="U47" s="443"/>
      <c r="V47" s="443"/>
      <c r="W47" s="443"/>
      <c r="X47" s="458"/>
    </row>
    <row r="48" spans="1:24" ht="16" thickBot="1">
      <c r="A48" s="65"/>
      <c r="B48" s="9" t="s">
        <v>104</v>
      </c>
      <c r="C48" s="125"/>
      <c r="D48" s="162">
        <f>SUM(D41:D47)</f>
        <v>402.80200000000002</v>
      </c>
      <c r="E48" s="162">
        <f>SUM(E41:E47)</f>
        <v>267.20045900000002</v>
      </c>
      <c r="F48" s="162">
        <f>SUM(F41:F47)</f>
        <v>314.692761948</v>
      </c>
      <c r="G48" s="162">
        <f>SUM(G41:G47)</f>
        <v>304.00792558270001</v>
      </c>
      <c r="H48" s="178">
        <f>SUM(H41:H47)</f>
        <v>355.20270643833169</v>
      </c>
      <c r="I48" s="179">
        <f>AVERAGE(C48:H48)</f>
        <v>328.78117059380634</v>
      </c>
      <c r="J48" s="70">
        <f>I48/$I$48</f>
        <v>1</v>
      </c>
      <c r="K48" s="12"/>
      <c r="L48" s="12"/>
      <c r="M48" s="366"/>
      <c r="N48" s="366"/>
      <c r="O48" s="366"/>
      <c r="P48" s="366"/>
      <c r="Q48" s="366"/>
      <c r="R48" s="366"/>
      <c r="S48" s="366"/>
      <c r="T48" s="366"/>
      <c r="U48" s="443"/>
      <c r="V48" s="443"/>
      <c r="W48" s="443"/>
      <c r="X48" s="458"/>
    </row>
    <row r="49" spans="1:24">
      <c r="A49" s="65"/>
      <c r="B49" s="12"/>
      <c r="C49" s="12"/>
      <c r="D49" s="148"/>
      <c r="E49" s="148"/>
      <c r="F49" s="148"/>
      <c r="G49" s="148"/>
      <c r="H49" s="148"/>
      <c r="I49" s="148"/>
      <c r="J49" s="65"/>
      <c r="K49" s="12"/>
      <c r="L49" s="12"/>
      <c r="M49" s="366"/>
      <c r="N49" s="366"/>
      <c r="O49" s="366"/>
      <c r="P49" s="366"/>
      <c r="Q49" s="366"/>
      <c r="R49" s="366"/>
      <c r="S49" s="460"/>
      <c r="T49" s="460"/>
      <c r="U49" s="443"/>
      <c r="V49" s="443"/>
      <c r="W49" s="443"/>
      <c r="X49" s="458"/>
    </row>
    <row r="50" spans="1:24" ht="16" thickBot="1">
      <c r="A50" s="65"/>
      <c r="B50" s="12"/>
      <c r="C50" s="12"/>
      <c r="D50" s="481" t="s">
        <v>105</v>
      </c>
      <c r="E50" s="482"/>
      <c r="F50" s="482"/>
      <c r="G50" s="482"/>
      <c r="H50" s="483"/>
      <c r="I50" s="179">
        <f>I48</f>
        <v>328.78117059380634</v>
      </c>
      <c r="J50" s="3"/>
      <c r="K50" s="12"/>
      <c r="L50" s="12"/>
      <c r="M50" s="366"/>
      <c r="N50" s="366"/>
      <c r="O50" s="366"/>
      <c r="P50" s="366"/>
      <c r="Q50" s="366"/>
      <c r="R50" s="366"/>
      <c r="S50" s="366"/>
      <c r="T50" s="366"/>
      <c r="U50" s="443"/>
      <c r="V50" s="443"/>
      <c r="W50" s="443"/>
      <c r="X50" s="458"/>
    </row>
    <row r="51" spans="1:24" ht="15" thickTop="1">
      <c r="A51" s="63"/>
      <c r="B51" s="2"/>
      <c r="C51" s="2"/>
      <c r="D51" s="146"/>
      <c r="E51" s="146"/>
      <c r="F51" s="146"/>
      <c r="G51" s="146"/>
      <c r="H51" s="146"/>
      <c r="I51" s="146"/>
      <c r="J51" s="63"/>
      <c r="K51" s="2"/>
      <c r="L51" s="2"/>
      <c r="M51" s="362"/>
      <c r="N51" s="362"/>
      <c r="O51" s="362"/>
      <c r="P51" s="362"/>
      <c r="Q51" s="362"/>
      <c r="R51" s="362"/>
      <c r="S51" s="366"/>
      <c r="T51" s="366"/>
      <c r="U51" s="444"/>
      <c r="V51" s="444"/>
      <c r="W51" s="444"/>
      <c r="X51" s="461"/>
    </row>
    <row r="52" spans="1:24">
      <c r="A52" s="65"/>
      <c r="B52" s="12"/>
      <c r="C52" s="12"/>
      <c r="D52" s="148"/>
      <c r="E52" s="148"/>
      <c r="F52" s="148"/>
      <c r="G52" s="148"/>
      <c r="H52" s="148"/>
      <c r="I52" s="148"/>
      <c r="J52" s="65"/>
      <c r="K52" s="3"/>
      <c r="L52" s="3"/>
      <c r="M52" s="443"/>
      <c r="N52" s="443"/>
      <c r="O52" s="443"/>
      <c r="P52" s="443"/>
      <c r="Q52" s="443"/>
      <c r="R52" s="443"/>
      <c r="S52" s="366"/>
      <c r="T52" s="366"/>
      <c r="U52" s="443"/>
      <c r="V52" s="443"/>
      <c r="W52" s="443"/>
      <c r="X52" s="458"/>
    </row>
    <row r="53" spans="1:24" ht="15" thickBot="1">
      <c r="A53" s="66"/>
      <c r="B53" s="13"/>
      <c r="C53" s="13"/>
      <c r="D53" s="163"/>
      <c r="E53" s="163"/>
      <c r="F53" s="163"/>
      <c r="G53" s="163"/>
      <c r="H53" s="163"/>
      <c r="I53" s="163"/>
      <c r="J53" s="66"/>
      <c r="K53" s="66"/>
      <c r="L53" s="66"/>
      <c r="M53" s="462"/>
      <c r="N53" s="462"/>
      <c r="O53" s="462"/>
      <c r="P53" s="462"/>
      <c r="Q53" s="462"/>
      <c r="R53" s="462"/>
      <c r="S53" s="463"/>
      <c r="T53" s="463"/>
      <c r="U53" s="463"/>
      <c r="V53" s="463"/>
      <c r="W53" s="463"/>
      <c r="X53" s="464"/>
    </row>
    <row r="55" spans="1:24" ht="18" hidden="1">
      <c r="A55" s="65"/>
      <c r="B55" s="181" t="s">
        <v>150</v>
      </c>
      <c r="C55" s="68"/>
      <c r="D55" s="148"/>
      <c r="E55" s="148"/>
      <c r="F55" s="148"/>
      <c r="G55" s="148"/>
      <c r="H55" s="148"/>
      <c r="I55" s="148"/>
      <c r="J55" s="3"/>
      <c r="K55" s="65"/>
      <c r="L55" s="3"/>
      <c r="M55" s="3"/>
      <c r="N55" s="3"/>
      <c r="O55" s="3"/>
      <c r="P55" s="3"/>
      <c r="Q55" s="3"/>
      <c r="R55" s="3"/>
      <c r="S55" s="12"/>
      <c r="T55" s="12"/>
      <c r="U55" s="3"/>
      <c r="V55" s="3"/>
      <c r="W55" s="3"/>
      <c r="X55" s="61"/>
    </row>
    <row r="56" spans="1:24" ht="15" hidden="1" thickBot="1"/>
    <row r="57" spans="1:24" hidden="1">
      <c r="B57" s="75" t="s">
        <v>41</v>
      </c>
      <c r="C57" s="121"/>
      <c r="D57" s="73" t="str">
        <f>D7</f>
        <v>Year 1</v>
      </c>
      <c r="E57" s="73" t="str">
        <f t="shared" ref="E57:H57" si="5">E7</f>
        <v>Year 2</v>
      </c>
      <c r="F57" s="73" t="str">
        <f t="shared" si="5"/>
        <v>Year 3</v>
      </c>
      <c r="G57" s="73" t="str">
        <f t="shared" si="5"/>
        <v>Year 4</v>
      </c>
      <c r="H57" s="73" t="str">
        <f t="shared" si="5"/>
        <v>Year 5</v>
      </c>
      <c r="I57" s="76" t="s">
        <v>16</v>
      </c>
    </row>
    <row r="58" spans="1:24" hidden="1">
      <c r="B58" s="4" t="s">
        <v>0</v>
      </c>
      <c r="C58" s="113"/>
      <c r="D58" s="149"/>
      <c r="E58" s="149"/>
      <c r="F58" s="149"/>
      <c r="G58" s="149"/>
      <c r="H58" s="166"/>
      <c r="I58" s="167"/>
    </row>
    <row r="59" spans="1:24" hidden="1">
      <c r="B59" s="93" t="s">
        <v>148</v>
      </c>
      <c r="C59" s="122"/>
      <c r="D59" s="150">
        <f>TCO_INPUTS!$F$40*TCO_INPUTS!$G$40*TCO_CALCULATIONS!H9+TCO_INPUTS!$F$45*TCO_INPUTS!$G$45*TCO_CALCULATIONS!H10+TCO_INPUTS!$F$51*TCO_INPUTS!$G$51*TCO_CALCULATIONS!H11+TCO_INPUTS!$F$57*TCO_INPUTS!$G$57*TCO_CALCULATIONS!H12</f>
        <v>100.60000000000001</v>
      </c>
      <c r="E59" s="150">
        <f>TCO_INPUTS!$F$40*TCO_INPUTS!$G$40*TCO_CALCULATIONS!I9+TCO_INPUTS!$F$45*TCO_INPUTS!$G$45*TCO_CALCULATIONS!I10+TCO_INPUTS!$F$51*TCO_INPUTS!$G$51*TCO_CALCULATIONS!I11+TCO_INPUTS!$F$57*TCO_INPUTS!$G$57*TCO_CALCULATIONS!I12</f>
        <v>201.20000000000002</v>
      </c>
      <c r="F59" s="150">
        <f>TCO_INPUTS!$F$40*TCO_INPUTS!$G$40*TCO_CALCULATIONS!J9+TCO_INPUTS!$F$45*TCO_INPUTS!$G$45*TCO_CALCULATIONS!J10+TCO_INPUTS!$F$51*TCO_INPUTS!$G$51*TCO_CALCULATIONS!J11+TCO_INPUTS!$F$57*TCO_INPUTS!$G$57*TCO_CALCULATIONS!J12</f>
        <v>503</v>
      </c>
      <c r="G59" s="150">
        <f>TCO_INPUTS!$F$40*TCO_INPUTS!$G$40*TCO_CALCULATIONS!K9+TCO_INPUTS!$F$45*TCO_INPUTS!$G$45*TCO_CALCULATIONS!K10+TCO_INPUTS!$F$51*TCO_INPUTS!$G$51*TCO_CALCULATIONS!K11+TCO_INPUTS!$F$57*TCO_INPUTS!$G$57*TCO_CALCULATIONS!K12</f>
        <v>1006</v>
      </c>
      <c r="H59" s="150">
        <f>TCO_INPUTS!$F$40*TCO_INPUTS!$G$40*TCO_CALCULATIONS!L9+TCO_INPUTS!$F$45*TCO_INPUTS!$G$45*TCO_CALCULATIONS!L10+TCO_INPUTS!$F$51*TCO_INPUTS!$G$51*TCO_CALCULATIONS!L11+TCO_INPUTS!$F$57*TCO_INPUTS!$G$57*TCO_CALCULATIONS!L12</f>
        <v>2515</v>
      </c>
      <c r="I59" s="168">
        <f t="shared" ref="I59:I64" si="6">SUM(D59:H59)</f>
        <v>4325.8</v>
      </c>
    </row>
    <row r="60" spans="1:24" hidden="1">
      <c r="B60" s="93" t="s">
        <v>149</v>
      </c>
      <c r="C60" s="199"/>
      <c r="D60" s="155">
        <f>D9+D10-D59</f>
        <v>3518.6000000000004</v>
      </c>
      <c r="E60" s="155">
        <f t="shared" ref="E60:H60" si="7">E9+E10-E59</f>
        <v>7688.6560000000018</v>
      </c>
      <c r="F60" s="155">
        <f t="shared" si="7"/>
        <v>20996.857600000003</v>
      </c>
      <c r="G60" s="155">
        <f t="shared" si="7"/>
        <v>45863.689568000002</v>
      </c>
      <c r="H60" s="155">
        <f t="shared" si="7"/>
        <v>125204.90407280003</v>
      </c>
      <c r="I60" s="168">
        <f t="shared" si="6"/>
        <v>203272.70724080002</v>
      </c>
    </row>
    <row r="61" spans="1:24" hidden="1">
      <c r="B61" s="94" t="s">
        <v>82</v>
      </c>
      <c r="C61" s="123"/>
      <c r="D61" s="151">
        <f t="shared" ref="D61:D71" si="8">D11</f>
        <v>2439</v>
      </c>
      <c r="E61" s="151">
        <f t="shared" ref="E61:H61" si="9">E11</f>
        <v>3716.8128000000006</v>
      </c>
      <c r="F61" s="151">
        <f t="shared" si="9"/>
        <v>11000.427804000003</v>
      </c>
      <c r="G61" s="151">
        <f t="shared" si="9"/>
        <v>22079.726438400005</v>
      </c>
      <c r="H61" s="151">
        <f t="shared" si="9"/>
        <v>65348.041369662009</v>
      </c>
      <c r="I61" s="200">
        <f t="shared" si="6"/>
        <v>104584.00841206202</v>
      </c>
    </row>
    <row r="62" spans="1:24" hidden="1">
      <c r="B62" s="206" t="s">
        <v>100</v>
      </c>
      <c r="C62" s="203"/>
      <c r="D62" s="151">
        <f t="shared" si="8"/>
        <v>800</v>
      </c>
      <c r="E62" s="151">
        <f t="shared" ref="E62:H71" si="10">E12</f>
        <v>1744.0000000000002</v>
      </c>
      <c r="F62" s="151">
        <f t="shared" si="10"/>
        <v>4752.4000000000005</v>
      </c>
      <c r="G62" s="151">
        <f t="shared" si="10"/>
        <v>10360.232000000002</v>
      </c>
      <c r="H62" s="151">
        <f t="shared" si="10"/>
        <v>28231.632200000004</v>
      </c>
      <c r="I62" s="208">
        <f t="shared" si="6"/>
        <v>45888.264200000005</v>
      </c>
    </row>
    <row r="63" spans="1:24" hidden="1">
      <c r="B63" s="206" t="s">
        <v>45</v>
      </c>
      <c r="C63" s="203"/>
      <c r="D63" s="151">
        <f t="shared" si="8"/>
        <v>3</v>
      </c>
      <c r="E63" s="151">
        <f t="shared" si="10"/>
        <v>6.5400000000000009</v>
      </c>
      <c r="F63" s="151">
        <f t="shared" si="10"/>
        <v>17.821500000000004</v>
      </c>
      <c r="G63" s="151">
        <f t="shared" si="10"/>
        <v>38.850870000000008</v>
      </c>
      <c r="H63" s="151">
        <f t="shared" si="10"/>
        <v>105.86862075000002</v>
      </c>
      <c r="I63" s="208">
        <f t="shared" si="6"/>
        <v>172.08099075000004</v>
      </c>
    </row>
    <row r="64" spans="1:24" hidden="1">
      <c r="B64" s="206" t="s">
        <v>46</v>
      </c>
      <c r="C64" s="203"/>
      <c r="D64" s="151">
        <f t="shared" si="8"/>
        <v>4.8000000000000007</v>
      </c>
      <c r="E64" s="151">
        <f t="shared" si="10"/>
        <v>10.464000000000002</v>
      </c>
      <c r="F64" s="151">
        <f t="shared" si="10"/>
        <v>28.514400000000002</v>
      </c>
      <c r="G64" s="151">
        <f t="shared" si="10"/>
        <v>62.161392000000006</v>
      </c>
      <c r="H64" s="151">
        <f t="shared" si="10"/>
        <v>169.38979320000004</v>
      </c>
      <c r="I64" s="208">
        <f t="shared" si="6"/>
        <v>275.32958520000005</v>
      </c>
    </row>
    <row r="65" spans="2:9" hidden="1">
      <c r="B65" s="206" t="s">
        <v>135</v>
      </c>
      <c r="C65" s="203"/>
      <c r="D65" s="151">
        <f t="shared" si="8"/>
        <v>0</v>
      </c>
      <c r="E65" s="151">
        <f t="shared" si="10"/>
        <v>0</v>
      </c>
      <c r="F65" s="151">
        <f t="shared" si="10"/>
        <v>0</v>
      </c>
      <c r="G65" s="151">
        <f t="shared" si="10"/>
        <v>0</v>
      </c>
      <c r="H65" s="151">
        <f t="shared" si="10"/>
        <v>0</v>
      </c>
      <c r="I65" s="208"/>
    </row>
    <row r="66" spans="2:9" hidden="1">
      <c r="B66" s="206" t="s">
        <v>101</v>
      </c>
      <c r="C66" s="203"/>
      <c r="D66" s="151">
        <f t="shared" si="8"/>
        <v>1600</v>
      </c>
      <c r="E66" s="151">
        <f t="shared" si="10"/>
        <v>1918.4</v>
      </c>
      <c r="F66" s="151">
        <f t="shared" si="10"/>
        <v>6083.072000000001</v>
      </c>
      <c r="G66" s="151">
        <f t="shared" si="10"/>
        <v>11396.255200000001</v>
      </c>
      <c r="H66" s="151">
        <f t="shared" si="10"/>
        <v>36136.489216000009</v>
      </c>
      <c r="I66" s="208">
        <f t="shared" ref="I66:I67" si="11">SUM(D66:H66)</f>
        <v>57134.21641600001</v>
      </c>
    </row>
    <row r="67" spans="2:9" hidden="1">
      <c r="B67" s="206" t="s">
        <v>47</v>
      </c>
      <c r="C67" s="203"/>
      <c r="D67" s="151">
        <f t="shared" si="8"/>
        <v>12</v>
      </c>
      <c r="E67" s="151">
        <f t="shared" si="10"/>
        <v>14.388000000000002</v>
      </c>
      <c r="F67" s="151">
        <f t="shared" si="10"/>
        <v>45.623040000000003</v>
      </c>
      <c r="G67" s="151">
        <f t="shared" si="10"/>
        <v>85.471914000000012</v>
      </c>
      <c r="H67" s="151">
        <f t="shared" si="10"/>
        <v>271.02366912000002</v>
      </c>
      <c r="I67" s="208">
        <f t="shared" si="11"/>
        <v>428.50662312000003</v>
      </c>
    </row>
    <row r="68" spans="2:9" hidden="1">
      <c r="B68" s="206" t="s">
        <v>48</v>
      </c>
      <c r="C68" s="203"/>
      <c r="D68" s="151">
        <f t="shared" si="8"/>
        <v>19.200000000000003</v>
      </c>
      <c r="E68" s="151">
        <f t="shared" si="10"/>
        <v>23.020800000000008</v>
      </c>
      <c r="F68" s="151">
        <f t="shared" si="10"/>
        <v>72.996864000000002</v>
      </c>
      <c r="G68" s="151">
        <f t="shared" si="10"/>
        <v>136.75506240000004</v>
      </c>
      <c r="H68" s="151">
        <f t="shared" si="10"/>
        <v>433.63787059200013</v>
      </c>
      <c r="I68" s="208">
        <f>SUM(D68:H68)</f>
        <v>685.61059699200018</v>
      </c>
    </row>
    <row r="69" spans="2:9" hidden="1">
      <c r="B69" s="207" t="s">
        <v>140</v>
      </c>
      <c r="C69" s="205"/>
      <c r="D69" s="151">
        <f t="shared" si="8"/>
        <v>0</v>
      </c>
      <c r="E69" s="151">
        <f t="shared" si="10"/>
        <v>0</v>
      </c>
      <c r="F69" s="151">
        <f t="shared" si="10"/>
        <v>0</v>
      </c>
      <c r="G69" s="151">
        <f t="shared" si="10"/>
        <v>0</v>
      </c>
      <c r="H69" s="151">
        <f t="shared" si="10"/>
        <v>0</v>
      </c>
      <c r="I69" s="202">
        <f>SUM(D69:H69)</f>
        <v>0</v>
      </c>
    </row>
    <row r="70" spans="2:9" hidden="1">
      <c r="B70" s="209" t="s">
        <v>27</v>
      </c>
      <c r="C70" s="210"/>
      <c r="D70" s="151">
        <f t="shared" si="8"/>
        <v>300</v>
      </c>
      <c r="E70" s="151">
        <f t="shared" si="10"/>
        <v>327</v>
      </c>
      <c r="F70" s="151">
        <f t="shared" si="10"/>
        <v>356.43000000000006</v>
      </c>
      <c r="G70" s="151">
        <f t="shared" si="10"/>
        <v>388.50870000000009</v>
      </c>
      <c r="H70" s="151">
        <f t="shared" si="10"/>
        <v>423.47448300000008</v>
      </c>
      <c r="I70" s="208">
        <f t="shared" ref="I70:I73" si="12">SUM(D70:H70)</f>
        <v>1795.4131830000001</v>
      </c>
    </row>
    <row r="71" spans="2:9" hidden="1">
      <c r="B71" s="209" t="s">
        <v>143</v>
      </c>
      <c r="C71" s="210"/>
      <c r="D71" s="151">
        <f t="shared" si="8"/>
        <v>4224</v>
      </c>
      <c r="E71" s="151">
        <f t="shared" si="10"/>
        <v>6000</v>
      </c>
      <c r="F71" s="151">
        <f t="shared" si="10"/>
        <v>12072</v>
      </c>
      <c r="G71" s="151">
        <f t="shared" si="10"/>
        <v>24144</v>
      </c>
      <c r="H71" s="151">
        <f t="shared" si="10"/>
        <v>27000</v>
      </c>
      <c r="I71" s="202">
        <f t="shared" si="12"/>
        <v>73440</v>
      </c>
    </row>
    <row r="72" spans="2:9" hidden="1">
      <c r="B72" s="94"/>
      <c r="C72" s="123"/>
      <c r="D72" s="151"/>
      <c r="E72" s="151"/>
      <c r="F72" s="151"/>
      <c r="G72" s="151"/>
      <c r="H72" s="151"/>
      <c r="I72" s="168">
        <f t="shared" si="12"/>
        <v>0</v>
      </c>
    </row>
    <row r="73" spans="2:9" ht="15" hidden="1" thickBot="1">
      <c r="B73" s="5" t="s">
        <v>6</v>
      </c>
      <c r="C73" s="124"/>
      <c r="D73" s="152">
        <f>SUM(D70:D72,D61,D59:D60)</f>
        <v>10582.2</v>
      </c>
      <c r="E73" s="152">
        <f>SUM(E70:E72,E61,E59:E60)</f>
        <v>17933.668800000003</v>
      </c>
      <c r="F73" s="152">
        <f>SUM(F70:F72,F61,F59:F60)</f>
        <v>44928.715404000002</v>
      </c>
      <c r="G73" s="152">
        <f>SUM(G70:G72,G61,G59:G60)</f>
        <v>93481.924706400008</v>
      </c>
      <c r="H73" s="152">
        <f>SUM(H70:H72,H61,H59:H60)</f>
        <v>220491.41992546205</v>
      </c>
      <c r="I73" s="169">
        <f t="shared" si="12"/>
        <v>387417.92883586208</v>
      </c>
    </row>
    <row r="74" spans="2:9" ht="15" hidden="1" thickTop="1">
      <c r="B74" s="6"/>
      <c r="C74" s="7"/>
      <c r="D74" s="153"/>
      <c r="E74" s="170"/>
      <c r="F74" s="170"/>
      <c r="G74" s="170"/>
      <c r="H74" s="170"/>
      <c r="I74" s="171"/>
    </row>
    <row r="75" spans="2:9" hidden="1">
      <c r="B75" s="4" t="s">
        <v>7</v>
      </c>
      <c r="C75" s="113"/>
      <c r="D75" s="154"/>
      <c r="E75" s="154"/>
      <c r="F75" s="154"/>
      <c r="G75" s="154"/>
      <c r="H75" s="154"/>
      <c r="I75" s="172"/>
    </row>
    <row r="76" spans="2:9" hidden="1">
      <c r="B76" s="93" t="str">
        <f>B26</f>
        <v>Mobile Phones</v>
      </c>
      <c r="C76" s="122"/>
      <c r="D76" s="155">
        <f>D26</f>
        <v>9500</v>
      </c>
      <c r="E76" s="155">
        <f t="shared" ref="E76:H76" si="13">E26</f>
        <v>11494.050000000001</v>
      </c>
      <c r="F76" s="155">
        <f t="shared" si="13"/>
        <v>36343.979000000007</v>
      </c>
      <c r="G76" s="155">
        <f t="shared" si="13"/>
        <v>68034.348515000005</v>
      </c>
      <c r="H76" s="155">
        <f t="shared" si="13"/>
        <v>215767.30699655003</v>
      </c>
      <c r="I76" s="168">
        <f t="shared" ref="I76:I81" si="14">SUM(D76:H76)</f>
        <v>341139.68451155006</v>
      </c>
    </row>
    <row r="77" spans="2:9" hidden="1">
      <c r="B77" s="93" t="str">
        <f>B27</f>
        <v>Solar equipment for device charging</v>
      </c>
      <c r="C77" s="122"/>
      <c r="D77" s="155">
        <f t="shared" ref="D77:H77" si="15">D27</f>
        <v>20000</v>
      </c>
      <c r="E77" s="155">
        <f t="shared" si="15"/>
        <v>23980</v>
      </c>
      <c r="F77" s="155">
        <f t="shared" si="15"/>
        <v>76038.400000000009</v>
      </c>
      <c r="G77" s="155">
        <f t="shared" si="15"/>
        <v>142453.19000000003</v>
      </c>
      <c r="H77" s="155">
        <f t="shared" si="15"/>
        <v>451706.11520000006</v>
      </c>
      <c r="I77" s="168">
        <f t="shared" si="14"/>
        <v>714177.70520000008</v>
      </c>
    </row>
    <row r="78" spans="2:9" hidden="1">
      <c r="B78" s="93" t="str">
        <f>B28</f>
        <v>Netbooks for project manager</v>
      </c>
      <c r="C78" s="122"/>
      <c r="D78" s="155">
        <f t="shared" ref="D78:H78" si="16">D28</f>
        <v>0</v>
      </c>
      <c r="E78" s="155">
        <f t="shared" si="16"/>
        <v>0</v>
      </c>
      <c r="F78" s="155">
        <f t="shared" si="16"/>
        <v>0</v>
      </c>
      <c r="G78" s="155">
        <f t="shared" si="16"/>
        <v>0</v>
      </c>
      <c r="H78" s="155">
        <f t="shared" si="16"/>
        <v>0</v>
      </c>
      <c r="I78" s="168">
        <f t="shared" si="14"/>
        <v>0</v>
      </c>
    </row>
    <row r="79" spans="2:9" hidden="1">
      <c r="B79" s="93" t="str">
        <f>B29</f>
        <v>Netbooks for field staff</v>
      </c>
      <c r="C79" s="122"/>
      <c r="D79" s="155">
        <f t="shared" ref="D79:H79" si="17">D29</f>
        <v>0</v>
      </c>
      <c r="E79" s="155">
        <f t="shared" si="17"/>
        <v>0</v>
      </c>
      <c r="F79" s="155">
        <f t="shared" si="17"/>
        <v>0</v>
      </c>
      <c r="G79" s="155">
        <f t="shared" si="17"/>
        <v>0</v>
      </c>
      <c r="H79" s="155">
        <f t="shared" si="17"/>
        <v>0</v>
      </c>
      <c r="I79" s="168">
        <f t="shared" si="14"/>
        <v>0</v>
      </c>
    </row>
    <row r="80" spans="2:9" hidden="1">
      <c r="B80" s="93" t="str">
        <f t="shared" ref="B80:B81" si="18">B31</f>
        <v>Office expenses</v>
      </c>
      <c r="C80" s="122"/>
      <c r="D80" s="155">
        <f t="shared" ref="D80:H80" si="19">D31</f>
        <v>198</v>
      </c>
      <c r="E80" s="155">
        <f t="shared" si="19"/>
        <v>32.373000000000005</v>
      </c>
      <c r="F80" s="155">
        <f t="shared" si="19"/>
        <v>35.286570000000005</v>
      </c>
      <c r="G80" s="155">
        <f t="shared" si="19"/>
        <v>38.462361300000005</v>
      </c>
      <c r="H80" s="155">
        <f t="shared" si="19"/>
        <v>41.923973817000004</v>
      </c>
      <c r="I80" s="168">
        <f t="shared" si="14"/>
        <v>346.04590511699996</v>
      </c>
    </row>
    <row r="81" spans="2:9" ht="15" hidden="1" thickBot="1">
      <c r="B81" s="212" t="str">
        <f t="shared" si="18"/>
        <v>Total Capital / Equipment</v>
      </c>
      <c r="C81" s="124"/>
      <c r="D81" s="156">
        <f>SUM(D76:D80)</f>
        <v>29698</v>
      </c>
      <c r="E81" s="156">
        <f>SUM(E76:E80)</f>
        <v>35506.423000000003</v>
      </c>
      <c r="F81" s="156">
        <f>SUM(F76:F80)</f>
        <v>112417.66557000001</v>
      </c>
      <c r="G81" s="156">
        <f>SUM(G76:G80)</f>
        <v>210526.00087630001</v>
      </c>
      <c r="H81" s="173">
        <f>SUM(H76:H80)</f>
        <v>667515.34617036709</v>
      </c>
      <c r="I81" s="169">
        <f t="shared" si="14"/>
        <v>1055663.4356166671</v>
      </c>
    </row>
    <row r="82" spans="2:9" ht="15" hidden="1" thickTop="1">
      <c r="B82" s="8"/>
      <c r="C82" s="78"/>
      <c r="D82" s="157"/>
      <c r="E82" s="157"/>
      <c r="F82" s="157"/>
      <c r="G82" s="157"/>
      <c r="H82" s="157"/>
      <c r="I82" s="174"/>
    </row>
    <row r="83" spans="2:9" ht="16" hidden="1" thickBot="1">
      <c r="B83" s="9" t="s">
        <v>16</v>
      </c>
      <c r="C83" s="125"/>
      <c r="D83" s="158">
        <f>D73+D81</f>
        <v>40280.199999999997</v>
      </c>
      <c r="E83" s="158">
        <f>E73+E81</f>
        <v>53440.091800000009</v>
      </c>
      <c r="F83" s="158">
        <f>F73+F81</f>
        <v>157346.38097400003</v>
      </c>
      <c r="G83" s="158">
        <f>G73+G81</f>
        <v>304007.9255827</v>
      </c>
      <c r="H83" s="158">
        <f>H73+H81</f>
        <v>888006.7660958292</v>
      </c>
      <c r="I83" s="175">
        <f>SUM(D83:H83)</f>
        <v>1443081.3644525292</v>
      </c>
    </row>
    <row r="84" spans="2:9" hidden="1">
      <c r="B84" s="12"/>
      <c r="C84" s="12"/>
      <c r="D84" s="148"/>
      <c r="E84" s="148"/>
      <c r="F84" s="148"/>
      <c r="G84" s="148"/>
      <c r="H84" s="148"/>
      <c r="I84" s="148"/>
    </row>
    <row r="85" spans="2:9" ht="15" hidden="1">
      <c r="B85" s="92" t="s">
        <v>141</v>
      </c>
      <c r="C85" s="126"/>
      <c r="D85" s="159">
        <f>D83/TCO_CALCULATIONS!H37</f>
        <v>0.201401</v>
      </c>
      <c r="E85" s="159">
        <f>E83/TCO_CALCULATIONS!I37</f>
        <v>0.13360022950000003</v>
      </c>
      <c r="F85" s="159">
        <f>F83/TCO_CALCULATIONS!J37</f>
        <v>0.15734638097400003</v>
      </c>
      <c r="G85" s="159">
        <f>G83/TCO_CALCULATIONS!K37</f>
        <v>0.15200396279135001</v>
      </c>
      <c r="H85" s="159">
        <f>H83/TCO_CALCULATIONS!L37</f>
        <v>0.17760135321916584</v>
      </c>
      <c r="I85" s="148"/>
    </row>
    <row r="86" spans="2:9" hidden="1"/>
  </sheetData>
  <mergeCells count="2">
    <mergeCell ref="D50:H50"/>
    <mergeCell ref="B40:C40"/>
  </mergeCells>
  <phoneticPr fontId="37" type="noConversion"/>
  <pageMargins left="0.75" right="0.75" top="1" bottom="1" header="0.5" footer="0.5"/>
  <pageSetup scale="30" orientation="landscape" horizontalDpi="4294967292" verticalDpi="4294967292"/>
  <ignoredErrors>
    <ignoredError sqref="E23:F23 H23:I23" emptyCellReference="1"/>
  </ignoredErrors>
  <drawing r:id="rId1"/>
  <legacyDrawing r:id="rId2"/>
  <extLst>
    <ext xmlns:mx="http://schemas.microsoft.com/office/mac/excel/2008/main" uri="{64002731-A6B0-56B0-2670-7721B7C09600}">
      <mx:PLV Mode="0" OnePage="0" WScale="3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3"/>
  </sheetPr>
  <dimension ref="A1"/>
  <sheetViews>
    <sheetView workbookViewId="0">
      <selection activeCell="I40" sqref="I40"/>
    </sheetView>
  </sheetViews>
  <sheetFormatPr baseColWidth="10" defaultColWidth="9.1640625" defaultRowHeight="14" x14ac:dyDescent="0"/>
  <cols>
    <col min="1" max="16384" width="9.1640625" style="129"/>
  </cols>
  <sheetData/>
  <pageMargins left="0.7" right="0.7" top="0.75" bottom="0.75" header="0.3" footer="0.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K88"/>
  <sheetViews>
    <sheetView showGridLines="0" topLeftCell="A70" zoomScale="125" zoomScaleNormal="125" zoomScaleSheetLayoutView="80" zoomScalePageLayoutView="125" workbookViewId="0">
      <selection activeCell="H86" sqref="H86"/>
    </sheetView>
  </sheetViews>
  <sheetFormatPr baseColWidth="10" defaultColWidth="9.1640625" defaultRowHeight="14" x14ac:dyDescent="0"/>
  <cols>
    <col min="1" max="1" width="1" style="221" customWidth="1"/>
    <col min="2" max="2" width="1.5" style="221" customWidth="1"/>
    <col min="3" max="3" width="40.83203125" style="333" customWidth="1"/>
    <col min="4" max="6" width="10.33203125" style="221" customWidth="1"/>
    <col min="7" max="7" width="3.5" style="221" customWidth="1"/>
    <col min="8" max="8" width="61.1640625" style="221" customWidth="1"/>
    <col min="9" max="9" width="60.1640625" style="221" customWidth="1"/>
    <col min="10" max="16384" width="9.1640625" style="221"/>
  </cols>
  <sheetData>
    <row r="1" spans="1:11" ht="16" hidden="1" customHeight="1">
      <c r="C1" s="332" t="s">
        <v>124</v>
      </c>
      <c r="D1" s="222" t="s">
        <v>120</v>
      </c>
      <c r="E1" s="222"/>
      <c r="F1" s="222"/>
    </row>
    <row r="2" spans="1:11" ht="17" hidden="1" customHeight="1">
      <c r="D2" s="222" t="s">
        <v>119</v>
      </c>
      <c r="E2" s="222"/>
      <c r="F2" s="222"/>
    </row>
    <row r="3" spans="1:11" ht="12" hidden="1" customHeight="1">
      <c r="D3" s="222" t="s">
        <v>121</v>
      </c>
      <c r="E3" s="222"/>
      <c r="F3" s="222"/>
    </row>
    <row r="4" spans="1:11" ht="9" hidden="1" customHeight="1">
      <c r="D4" s="222" t="s">
        <v>122</v>
      </c>
      <c r="E4" s="222"/>
      <c r="F4" s="222"/>
    </row>
    <row r="5" spans="1:11" ht="7" hidden="1" customHeight="1">
      <c r="D5" s="222" t="s">
        <v>123</v>
      </c>
      <c r="E5" s="222"/>
      <c r="F5" s="222"/>
    </row>
    <row r="6" spans="1:11" ht="15" hidden="1" thickBot="1"/>
    <row r="7" spans="1:11" s="226" customFormat="1">
      <c r="A7" s="223"/>
      <c r="B7" s="224"/>
      <c r="C7" s="334"/>
      <c r="D7" s="224"/>
      <c r="E7" s="225"/>
      <c r="F7" s="225"/>
    </row>
    <row r="8" spans="1:11" s="226" customFormat="1" ht="30" customHeight="1">
      <c r="A8" s="227"/>
      <c r="B8" s="228"/>
      <c r="C8" s="335"/>
      <c r="D8" s="228"/>
      <c r="E8" s="229"/>
      <c r="F8" s="229"/>
      <c r="G8" s="228"/>
      <c r="I8" s="230"/>
      <c r="J8" s="230"/>
      <c r="K8" s="230"/>
    </row>
    <row r="9" spans="1:11" s="226" customFormat="1">
      <c r="A9" s="231"/>
      <c r="B9" s="232"/>
      <c r="C9" s="336"/>
      <c r="D9" s="233"/>
      <c r="E9" s="233"/>
      <c r="F9" s="234"/>
      <c r="G9" s="232"/>
      <c r="H9" s="232"/>
      <c r="I9" s="235"/>
      <c r="J9" s="236"/>
      <c r="K9" s="236"/>
    </row>
    <row r="10" spans="1:11" s="226" customFormat="1" ht="47" customHeight="1">
      <c r="A10" s="231"/>
      <c r="B10" s="228"/>
      <c r="C10" s="486" t="s">
        <v>152</v>
      </c>
      <c r="D10" s="486"/>
      <c r="E10" s="486"/>
      <c r="F10" s="486"/>
      <c r="G10" s="228"/>
      <c r="H10" s="487" t="s">
        <v>227</v>
      </c>
      <c r="I10" s="487"/>
      <c r="J10" s="236"/>
      <c r="K10" s="236"/>
    </row>
    <row r="11" spans="1:11" s="226" customFormat="1" ht="15" thickBot="1">
      <c r="A11" s="231"/>
      <c r="B11" s="228"/>
      <c r="C11" s="335"/>
      <c r="D11" s="237"/>
      <c r="E11" s="237"/>
      <c r="F11" s="238"/>
      <c r="G11" s="228"/>
      <c r="H11" s="228"/>
      <c r="I11" s="235"/>
      <c r="J11" s="236"/>
      <c r="K11" s="236"/>
    </row>
    <row r="12" spans="1:11" ht="16" thickBot="1">
      <c r="A12" s="239"/>
      <c r="B12" s="240"/>
      <c r="C12" s="241" t="s">
        <v>51</v>
      </c>
      <c r="D12" s="242" t="s">
        <v>1</v>
      </c>
      <c r="E12" s="242" t="s">
        <v>243</v>
      </c>
      <c r="F12" s="243" t="s">
        <v>5</v>
      </c>
      <c r="H12" s="357" t="s">
        <v>52</v>
      </c>
      <c r="I12" s="358" t="s">
        <v>53</v>
      </c>
      <c r="J12" s="244"/>
      <c r="K12" s="244"/>
    </row>
    <row r="13" spans="1:11" ht="15" customHeight="1" thickBot="1">
      <c r="A13" s="239"/>
      <c r="B13" s="245"/>
      <c r="C13" s="337" t="s">
        <v>95</v>
      </c>
      <c r="D13" s="469"/>
      <c r="E13" s="469"/>
      <c r="F13" s="469"/>
      <c r="H13" s="144" t="s">
        <v>223</v>
      </c>
      <c r="I13" s="142" t="s">
        <v>54</v>
      </c>
      <c r="J13" s="244"/>
      <c r="K13" s="244"/>
    </row>
    <row r="14" spans="1:11" ht="15" customHeight="1" thickBot="1">
      <c r="A14" s="239"/>
      <c r="B14" s="245"/>
      <c r="C14" s="337" t="s">
        <v>96</v>
      </c>
      <c r="D14" s="469"/>
      <c r="E14" s="469"/>
      <c r="F14" s="469"/>
      <c r="H14" s="144" t="s">
        <v>224</v>
      </c>
      <c r="I14" s="142" t="s">
        <v>54</v>
      </c>
      <c r="J14" s="246"/>
      <c r="K14" s="246"/>
    </row>
    <row r="15" spans="1:11" ht="43" thickBot="1">
      <c r="A15" s="239"/>
      <c r="B15" s="245"/>
      <c r="C15" s="356" t="s">
        <v>131</v>
      </c>
      <c r="D15" s="470"/>
      <c r="E15" s="470"/>
      <c r="F15" s="470"/>
      <c r="H15" s="144" t="s">
        <v>153</v>
      </c>
      <c r="I15" s="144" t="s">
        <v>281</v>
      </c>
      <c r="J15" s="246"/>
      <c r="K15" s="246"/>
    </row>
    <row r="16" spans="1:11" s="226" customFormat="1" ht="15" thickBot="1">
      <c r="A16" s="231"/>
      <c r="B16" s="228"/>
      <c r="C16" s="335"/>
      <c r="D16" s="228"/>
      <c r="E16" s="229"/>
      <c r="F16" s="229"/>
      <c r="I16" s="244"/>
      <c r="J16" s="244"/>
      <c r="K16" s="244"/>
    </row>
    <row r="17" spans="1:11" ht="15.75" customHeight="1" thickBot="1">
      <c r="A17" s="239"/>
      <c r="B17" s="247"/>
      <c r="C17" s="338" t="s">
        <v>127</v>
      </c>
      <c r="D17" s="248" t="s">
        <v>15</v>
      </c>
      <c r="E17" s="249" t="s">
        <v>113</v>
      </c>
      <c r="F17" s="229"/>
      <c r="I17" s="216"/>
      <c r="J17" s="216"/>
      <c r="K17" s="216"/>
    </row>
    <row r="18" spans="1:11" ht="85" customHeight="1" thickBot="1">
      <c r="A18" s="239"/>
      <c r="B18" s="247"/>
      <c r="C18" s="339" t="s">
        <v>128</v>
      </c>
      <c r="D18" s="466"/>
      <c r="E18" s="466"/>
      <c r="F18" s="229"/>
      <c r="G18" s="250"/>
      <c r="H18" s="217" t="s">
        <v>225</v>
      </c>
      <c r="I18" s="218" t="s">
        <v>226</v>
      </c>
      <c r="J18" s="216"/>
      <c r="K18" s="216"/>
    </row>
    <row r="19" spans="1:11" ht="28" customHeight="1" thickBot="1">
      <c r="A19" s="239"/>
      <c r="B19" s="247"/>
      <c r="C19" s="331" t="s">
        <v>129</v>
      </c>
      <c r="D19" s="466"/>
      <c r="E19" s="466"/>
      <c r="F19" s="229"/>
      <c r="G19" s="250"/>
      <c r="H19" s="219" t="s">
        <v>174</v>
      </c>
      <c r="I19" s="220" t="s">
        <v>175</v>
      </c>
      <c r="J19" s="216"/>
      <c r="K19" s="216"/>
    </row>
    <row r="20" spans="1:11" ht="29" thickBot="1">
      <c r="A20" s="239"/>
      <c r="B20" s="247"/>
      <c r="C20" s="331" t="s">
        <v>130</v>
      </c>
      <c r="D20" s="466"/>
      <c r="E20" s="466"/>
      <c r="F20" s="229"/>
      <c r="H20" s="219" t="s">
        <v>229</v>
      </c>
      <c r="I20" s="220" t="s">
        <v>230</v>
      </c>
      <c r="J20" s="216"/>
      <c r="K20" s="216"/>
    </row>
    <row r="21" spans="1:11" s="247" customFormat="1" ht="15" thickBot="1">
      <c r="A21" s="239"/>
      <c r="C21" s="340"/>
      <c r="I21" s="246"/>
      <c r="J21" s="246"/>
      <c r="K21" s="246"/>
    </row>
    <row r="22" spans="1:11" s="247" customFormat="1" ht="16" thickBot="1">
      <c r="A22" s="239"/>
      <c r="C22" s="241" t="s">
        <v>117</v>
      </c>
      <c r="D22" s="471"/>
      <c r="H22" s="303" t="s">
        <v>154</v>
      </c>
      <c r="I22" s="304" t="s">
        <v>155</v>
      </c>
      <c r="J22" s="221"/>
      <c r="K22" s="221"/>
    </row>
    <row r="23" spans="1:11" s="247" customFormat="1" ht="15" thickBot="1">
      <c r="A23" s="239"/>
      <c r="C23" s="341"/>
      <c r="I23" s="221"/>
      <c r="J23" s="221"/>
      <c r="K23" s="221"/>
    </row>
    <row r="24" spans="1:11" ht="30">
      <c r="A24" s="251"/>
      <c r="B24" s="247"/>
      <c r="C24" s="252" t="s">
        <v>55</v>
      </c>
      <c r="D24" s="253" t="s">
        <v>8</v>
      </c>
      <c r="E24" s="254" t="s">
        <v>9</v>
      </c>
      <c r="F24" s="255" t="s">
        <v>14</v>
      </c>
      <c r="H24" s="256"/>
      <c r="I24" s="257"/>
      <c r="J24" s="257"/>
      <c r="K24" s="256"/>
    </row>
    <row r="25" spans="1:11" ht="15" thickBot="1">
      <c r="A25" s="251"/>
      <c r="B25" s="247"/>
      <c r="C25" s="342" t="s">
        <v>132</v>
      </c>
      <c r="D25" s="258"/>
      <c r="E25" s="258"/>
      <c r="F25" s="259"/>
      <c r="H25" s="257"/>
      <c r="I25" s="256"/>
      <c r="J25" s="256"/>
      <c r="K25" s="256"/>
    </row>
    <row r="26" spans="1:11" ht="29" thickBot="1">
      <c r="A26" s="251"/>
      <c r="B26" s="247"/>
      <c r="C26" s="343" t="s">
        <v>56</v>
      </c>
      <c r="D26" s="261" t="s">
        <v>11</v>
      </c>
      <c r="E26" s="468">
        <v>0.1</v>
      </c>
      <c r="F26" s="262"/>
      <c r="H26" s="144" t="s">
        <v>196</v>
      </c>
      <c r="I26" s="142" t="s">
        <v>57</v>
      </c>
      <c r="J26" s="256"/>
      <c r="K26" s="256"/>
    </row>
    <row r="27" spans="1:11" ht="15" thickBot="1">
      <c r="A27" s="251"/>
      <c r="B27" s="247"/>
      <c r="C27" s="344" t="s">
        <v>97</v>
      </c>
      <c r="D27" s="263"/>
      <c r="E27" s="264"/>
      <c r="F27" s="265"/>
      <c r="H27" s="100"/>
      <c r="I27" s="100"/>
      <c r="J27" s="256"/>
      <c r="K27" s="256"/>
    </row>
    <row r="28" spans="1:11" ht="29" thickBot="1">
      <c r="A28" s="251"/>
      <c r="B28" s="247"/>
      <c r="C28" s="345" t="s">
        <v>58</v>
      </c>
      <c r="D28" s="266" t="s">
        <v>10</v>
      </c>
      <c r="E28" s="466">
        <v>2</v>
      </c>
      <c r="F28" s="467">
        <v>8</v>
      </c>
      <c r="H28" s="142" t="s">
        <v>106</v>
      </c>
      <c r="I28" s="143" t="s">
        <v>109</v>
      </c>
      <c r="J28" s="256"/>
      <c r="K28" s="256"/>
    </row>
    <row r="29" spans="1:11" ht="29" thickBot="1">
      <c r="A29" s="251"/>
      <c r="B29" s="247"/>
      <c r="C29" s="345" t="s">
        <v>59</v>
      </c>
      <c r="D29" s="266" t="s">
        <v>10</v>
      </c>
      <c r="E29" s="466">
        <v>1</v>
      </c>
      <c r="F29" s="467">
        <v>8</v>
      </c>
      <c r="H29" s="142" t="s">
        <v>107</v>
      </c>
      <c r="I29" s="142" t="s">
        <v>110</v>
      </c>
      <c r="J29" s="256"/>
      <c r="K29" s="256"/>
    </row>
    <row r="30" spans="1:11" ht="15" thickBot="1">
      <c r="A30" s="251"/>
      <c r="B30" s="247"/>
      <c r="C30" s="344" t="s">
        <v>67</v>
      </c>
      <c r="D30" s="263"/>
      <c r="E30" s="264"/>
      <c r="F30" s="265"/>
      <c r="H30" s="98"/>
      <c r="I30" s="98"/>
      <c r="J30" s="256"/>
      <c r="K30" s="256"/>
    </row>
    <row r="31" spans="1:11" ht="43" thickBot="1">
      <c r="A31" s="251"/>
      <c r="B31" s="247"/>
      <c r="C31" s="345" t="s">
        <v>58</v>
      </c>
      <c r="D31" s="266" t="s">
        <v>10</v>
      </c>
      <c r="E31" s="466">
        <v>4</v>
      </c>
      <c r="F31" s="467">
        <v>15</v>
      </c>
      <c r="H31" s="142" t="s">
        <v>60</v>
      </c>
      <c r="I31" s="144" t="s">
        <v>231</v>
      </c>
      <c r="J31" s="256"/>
      <c r="K31" s="256"/>
    </row>
    <row r="32" spans="1:11" ht="43" thickBot="1">
      <c r="A32" s="251"/>
      <c r="B32" s="247"/>
      <c r="C32" s="345" t="s">
        <v>59</v>
      </c>
      <c r="D32" s="266" t="s">
        <v>10</v>
      </c>
      <c r="E32" s="466">
        <v>1</v>
      </c>
      <c r="F32" s="467">
        <v>15</v>
      </c>
      <c r="H32" s="142" t="s">
        <v>61</v>
      </c>
      <c r="I32" s="144" t="s">
        <v>232</v>
      </c>
      <c r="J32" s="256"/>
      <c r="K32" s="256"/>
    </row>
    <row r="33" spans="1:9" ht="15" thickBot="1">
      <c r="A33" s="251"/>
      <c r="B33" s="247"/>
      <c r="C33" s="344" t="s">
        <v>62</v>
      </c>
      <c r="D33" s="263"/>
      <c r="E33" s="264"/>
      <c r="F33" s="265"/>
      <c r="H33" s="98"/>
      <c r="I33" s="98"/>
    </row>
    <row r="34" spans="1:9" ht="29" thickBot="1">
      <c r="A34" s="251"/>
      <c r="B34" s="247"/>
      <c r="C34" s="345" t="s">
        <v>58</v>
      </c>
      <c r="D34" s="266" t="s">
        <v>10</v>
      </c>
      <c r="E34" s="466">
        <v>4</v>
      </c>
      <c r="F34" s="467">
        <v>12</v>
      </c>
      <c r="H34" s="142" t="s">
        <v>63</v>
      </c>
      <c r="I34" s="144" t="s">
        <v>233</v>
      </c>
    </row>
    <row r="35" spans="1:9" ht="43" thickBot="1">
      <c r="A35" s="251"/>
      <c r="B35" s="247"/>
      <c r="C35" s="346" t="s">
        <v>59</v>
      </c>
      <c r="D35" s="267" t="s">
        <v>10</v>
      </c>
      <c r="E35" s="466">
        <v>1</v>
      </c>
      <c r="F35" s="467">
        <v>12</v>
      </c>
      <c r="H35" s="142" t="s">
        <v>64</v>
      </c>
      <c r="I35" s="144" t="s">
        <v>234</v>
      </c>
    </row>
    <row r="36" spans="1:9" ht="15" thickBot="1">
      <c r="A36" s="251"/>
      <c r="B36" s="247"/>
      <c r="C36" s="344" t="s">
        <v>137</v>
      </c>
      <c r="D36" s="263"/>
      <c r="E36" s="264"/>
      <c r="F36" s="265"/>
    </row>
    <row r="37" spans="1:9" ht="29" thickBot="1">
      <c r="A37" s="251"/>
      <c r="B37" s="247"/>
      <c r="C37" s="345" t="s">
        <v>58</v>
      </c>
      <c r="D37" s="266" t="s">
        <v>10</v>
      </c>
      <c r="E37" s="466">
        <v>0</v>
      </c>
      <c r="F37" s="467">
        <v>0</v>
      </c>
      <c r="H37" s="144" t="s">
        <v>157</v>
      </c>
      <c r="I37" s="144" t="s">
        <v>235</v>
      </c>
    </row>
    <row r="38" spans="1:9" ht="29" thickBot="1">
      <c r="A38" s="251"/>
      <c r="B38" s="247"/>
      <c r="C38" s="347" t="s">
        <v>59</v>
      </c>
      <c r="D38" s="268" t="s">
        <v>10</v>
      </c>
      <c r="E38" s="466">
        <v>0</v>
      </c>
      <c r="F38" s="467">
        <v>0</v>
      </c>
      <c r="H38" s="144" t="s">
        <v>158</v>
      </c>
      <c r="I38" s="144" t="s">
        <v>235</v>
      </c>
    </row>
    <row r="39" spans="1:9" ht="15" thickBot="1">
      <c r="A39" s="251"/>
      <c r="B39" s="247"/>
      <c r="C39" s="269"/>
      <c r="D39" s="270"/>
      <c r="E39" s="271"/>
      <c r="F39" s="272"/>
    </row>
    <row r="40" spans="1:9">
      <c r="A40" s="251"/>
      <c r="B40" s="247"/>
      <c r="C40" s="348" t="s">
        <v>65</v>
      </c>
      <c r="D40" s="273"/>
      <c r="E40" s="273"/>
      <c r="F40" s="274"/>
    </row>
    <row r="41" spans="1:9" ht="15" customHeight="1" thickBot="1">
      <c r="A41" s="239"/>
      <c r="B41" s="247"/>
      <c r="C41" s="344" t="s">
        <v>97</v>
      </c>
      <c r="D41" s="263"/>
      <c r="E41" s="264"/>
      <c r="F41" s="265"/>
    </row>
    <row r="42" spans="1:9" ht="29" thickBot="1">
      <c r="A42" s="251"/>
      <c r="B42" s="247"/>
      <c r="C42" s="275" t="s">
        <v>84</v>
      </c>
      <c r="D42" s="263" t="s">
        <v>12</v>
      </c>
      <c r="E42" s="466">
        <v>1</v>
      </c>
      <c r="F42" s="472">
        <v>1</v>
      </c>
      <c r="H42" s="144" t="s">
        <v>167</v>
      </c>
      <c r="I42" s="144" t="s">
        <v>228</v>
      </c>
    </row>
    <row r="43" spans="1:9" ht="29" thickBot="1">
      <c r="A43" s="251"/>
      <c r="B43" s="247"/>
      <c r="C43" s="275" t="s">
        <v>133</v>
      </c>
      <c r="D43" s="263" t="s">
        <v>12</v>
      </c>
      <c r="E43" s="466">
        <v>1</v>
      </c>
      <c r="F43" s="472">
        <v>0</v>
      </c>
      <c r="H43" s="142" t="s">
        <v>108</v>
      </c>
      <c r="I43" s="144" t="s">
        <v>112</v>
      </c>
    </row>
    <row r="44" spans="1:9" ht="15" thickBot="1">
      <c r="A44" s="251"/>
      <c r="B44" s="247"/>
      <c r="C44" s="277" t="s">
        <v>66</v>
      </c>
      <c r="D44" s="278" t="s">
        <v>12</v>
      </c>
      <c r="E44" s="466">
        <v>1</v>
      </c>
      <c r="F44" s="472">
        <v>0</v>
      </c>
      <c r="H44" s="144" t="s">
        <v>170</v>
      </c>
      <c r="I44" s="142"/>
    </row>
    <row r="45" spans="1:9" ht="15" thickBot="1">
      <c r="A45" s="251"/>
      <c r="B45" s="247"/>
      <c r="C45" s="279"/>
      <c r="D45" s="280"/>
      <c r="E45" s="55" t="s">
        <v>86</v>
      </c>
      <c r="F45" s="281">
        <f>SUMPRODUCT('Dimagi Assumption Explanations '!E42:E44,'Dimagi Assumption Explanations '!F42:F44)</f>
        <v>1</v>
      </c>
    </row>
    <row r="46" spans="1:9" ht="15" thickBot="1">
      <c r="A46" s="251"/>
      <c r="B46" s="247"/>
      <c r="C46" s="282" t="s">
        <v>145</v>
      </c>
      <c r="D46" s="283"/>
      <c r="E46" s="284"/>
      <c r="F46" s="285"/>
    </row>
    <row r="47" spans="1:9" ht="43" thickBot="1">
      <c r="A47" s="251"/>
      <c r="B47" s="247"/>
      <c r="C47" s="275" t="s">
        <v>84</v>
      </c>
      <c r="D47" s="263" t="s">
        <v>12</v>
      </c>
      <c r="E47" s="466">
        <v>1</v>
      </c>
      <c r="F47" s="472">
        <v>1</v>
      </c>
      <c r="H47" s="144" t="s">
        <v>166</v>
      </c>
      <c r="I47" s="144" t="s">
        <v>236</v>
      </c>
    </row>
    <row r="48" spans="1:9" ht="29" thickBot="1">
      <c r="A48" s="251"/>
      <c r="B48" s="247"/>
      <c r="C48" s="275" t="s">
        <v>87</v>
      </c>
      <c r="D48" s="263" t="s">
        <v>12</v>
      </c>
      <c r="E48" s="466">
        <v>1</v>
      </c>
      <c r="F48" s="472">
        <v>550</v>
      </c>
      <c r="H48" s="142" t="s">
        <v>68</v>
      </c>
      <c r="I48" s="144" t="s">
        <v>237</v>
      </c>
    </row>
    <row r="49" spans="1:9" ht="43" thickBot="1">
      <c r="A49" s="251"/>
      <c r="B49" s="247"/>
      <c r="C49" s="275" t="s">
        <v>69</v>
      </c>
      <c r="D49" s="263" t="s">
        <v>12</v>
      </c>
      <c r="E49" s="466">
        <v>1</v>
      </c>
      <c r="F49" s="472">
        <v>11</v>
      </c>
      <c r="H49" s="142" t="s">
        <v>70</v>
      </c>
      <c r="I49" s="144" t="s">
        <v>238</v>
      </c>
    </row>
    <row r="50" spans="1:9" ht="15" thickBot="1">
      <c r="A50" s="251"/>
      <c r="B50" s="247"/>
      <c r="C50" s="277" t="s">
        <v>66</v>
      </c>
      <c r="D50" s="278" t="s">
        <v>12</v>
      </c>
      <c r="E50" s="466">
        <v>1</v>
      </c>
      <c r="F50" s="472">
        <v>0</v>
      </c>
      <c r="H50" s="144" t="s">
        <v>160</v>
      </c>
      <c r="I50" s="142"/>
    </row>
    <row r="51" spans="1:9" ht="15" thickBot="1">
      <c r="A51" s="251"/>
      <c r="B51" s="247"/>
      <c r="C51" s="279"/>
      <c r="D51" s="280"/>
      <c r="E51" s="55" t="s">
        <v>86</v>
      </c>
      <c r="F51" s="281">
        <f>SUMPRODUCT('Dimagi Assumption Explanations '!E47:E50,'Dimagi Assumption Explanations '!F47:F50)</f>
        <v>562</v>
      </c>
    </row>
    <row r="52" spans="1:9" ht="15" thickBot="1">
      <c r="A52" s="251"/>
      <c r="B52" s="247"/>
      <c r="C52" s="282" t="s">
        <v>146</v>
      </c>
      <c r="D52" s="283"/>
      <c r="E52" s="284"/>
      <c r="F52" s="285"/>
    </row>
    <row r="53" spans="1:9" ht="43" thickBot="1">
      <c r="A53" s="251"/>
      <c r="B53" s="247"/>
      <c r="C53" s="275" t="s">
        <v>84</v>
      </c>
      <c r="D53" s="263" t="s">
        <v>12</v>
      </c>
      <c r="E53" s="466">
        <v>1</v>
      </c>
      <c r="F53" s="472">
        <v>1</v>
      </c>
      <c r="H53" s="144" t="s">
        <v>168</v>
      </c>
      <c r="I53" s="144" t="s">
        <v>239</v>
      </c>
    </row>
    <row r="54" spans="1:9" ht="29" thickBot="1">
      <c r="A54" s="251"/>
      <c r="B54" s="247"/>
      <c r="C54" s="275" t="s">
        <v>87</v>
      </c>
      <c r="D54" s="263" t="s">
        <v>12</v>
      </c>
      <c r="E54" s="466">
        <v>1</v>
      </c>
      <c r="F54" s="472">
        <v>200</v>
      </c>
      <c r="H54" s="142" t="s">
        <v>71</v>
      </c>
      <c r="I54" s="144" t="s">
        <v>240</v>
      </c>
    </row>
    <row r="55" spans="1:9" ht="43" thickBot="1">
      <c r="A55" s="251"/>
      <c r="B55" s="247"/>
      <c r="C55" s="275" t="s">
        <v>69</v>
      </c>
      <c r="D55" s="263" t="s">
        <v>12</v>
      </c>
      <c r="E55" s="466">
        <v>1</v>
      </c>
      <c r="F55" s="472">
        <v>22</v>
      </c>
      <c r="H55" s="142" t="s">
        <v>72</v>
      </c>
      <c r="I55" s="144" t="s">
        <v>241</v>
      </c>
    </row>
    <row r="56" spans="1:9" ht="15" thickBot="1">
      <c r="A56" s="251"/>
      <c r="B56" s="247"/>
      <c r="C56" s="277" t="s">
        <v>66</v>
      </c>
      <c r="D56" s="278" t="s">
        <v>12</v>
      </c>
      <c r="E56" s="466">
        <v>1</v>
      </c>
      <c r="F56" s="472">
        <v>0</v>
      </c>
      <c r="H56" s="144" t="s">
        <v>161</v>
      </c>
      <c r="I56" s="142"/>
    </row>
    <row r="57" spans="1:9" ht="15" thickBot="1">
      <c r="A57" s="251"/>
      <c r="B57" s="247"/>
      <c r="C57" s="279"/>
      <c r="D57" s="280"/>
      <c r="E57" s="55" t="s">
        <v>86</v>
      </c>
      <c r="F57" s="281">
        <f>SUMPRODUCT('Dimagi Assumption Explanations '!E53:E56,'Dimagi Assumption Explanations '!F53:F56)</f>
        <v>223</v>
      </c>
    </row>
    <row r="58" spans="1:9" ht="15" thickBot="1">
      <c r="A58" s="251"/>
      <c r="B58" s="247"/>
      <c r="C58" s="282" t="s">
        <v>147</v>
      </c>
      <c r="D58" s="283"/>
      <c r="E58" s="284"/>
      <c r="F58" s="285"/>
    </row>
    <row r="59" spans="1:9" ht="29" thickBot="1">
      <c r="A59" s="251"/>
      <c r="B59" s="247"/>
      <c r="C59" s="275" t="s">
        <v>84</v>
      </c>
      <c r="D59" s="263" t="s">
        <v>12</v>
      </c>
      <c r="E59" s="466"/>
      <c r="F59" s="472"/>
      <c r="H59" s="144" t="s">
        <v>169</v>
      </c>
      <c r="I59" s="144" t="s">
        <v>235</v>
      </c>
    </row>
    <row r="60" spans="1:9" ht="29" thickBot="1">
      <c r="A60" s="251"/>
      <c r="B60" s="247"/>
      <c r="C60" s="275" t="s">
        <v>87</v>
      </c>
      <c r="D60" s="263" t="s">
        <v>12</v>
      </c>
      <c r="E60" s="466"/>
      <c r="F60" s="472"/>
      <c r="H60" s="144" t="s">
        <v>162</v>
      </c>
      <c r="I60" s="144" t="s">
        <v>235</v>
      </c>
    </row>
    <row r="61" spans="1:9" ht="29" thickBot="1">
      <c r="A61" s="251"/>
      <c r="B61" s="247"/>
      <c r="C61" s="275" t="s">
        <v>69</v>
      </c>
      <c r="D61" s="263" t="s">
        <v>12</v>
      </c>
      <c r="E61" s="466"/>
      <c r="F61" s="472"/>
      <c r="H61" s="144" t="s">
        <v>163</v>
      </c>
      <c r="I61" s="144" t="s">
        <v>235</v>
      </c>
    </row>
    <row r="62" spans="1:9" ht="29" thickBot="1">
      <c r="A62" s="251"/>
      <c r="B62" s="247"/>
      <c r="C62" s="277" t="s">
        <v>66</v>
      </c>
      <c r="D62" s="278" t="s">
        <v>12</v>
      </c>
      <c r="E62" s="466"/>
      <c r="F62" s="472">
        <v>0</v>
      </c>
      <c r="H62" s="144" t="s">
        <v>172</v>
      </c>
      <c r="I62" s="144" t="s">
        <v>159</v>
      </c>
    </row>
    <row r="63" spans="1:9" ht="15" thickBot="1">
      <c r="A63" s="251"/>
      <c r="B63" s="247"/>
      <c r="C63" s="279"/>
      <c r="D63" s="280"/>
      <c r="E63" s="55" t="s">
        <v>86</v>
      </c>
      <c r="F63" s="281">
        <f>SUMPRODUCT('Dimagi Assumption Explanations '!E59:E62,'Dimagi Assumption Explanations '!F59:F62)</f>
        <v>0</v>
      </c>
    </row>
    <row r="64" spans="1:9" ht="15" thickBot="1">
      <c r="A64" s="251"/>
      <c r="B64" s="247"/>
      <c r="C64" s="282" t="s">
        <v>177</v>
      </c>
      <c r="D64" s="283"/>
      <c r="E64" s="284"/>
      <c r="F64" s="285"/>
    </row>
    <row r="65" spans="1:11" ht="44" customHeight="1" thickBot="1">
      <c r="A65" s="251"/>
      <c r="B65" s="247"/>
      <c r="C65" s="275" t="s">
        <v>73</v>
      </c>
      <c r="D65" s="266" t="s">
        <v>12</v>
      </c>
      <c r="E65" s="466">
        <v>1</v>
      </c>
      <c r="F65" s="472">
        <v>25</v>
      </c>
      <c r="H65" s="144" t="s">
        <v>178</v>
      </c>
      <c r="I65" s="142" t="s">
        <v>111</v>
      </c>
    </row>
    <row r="66" spans="1:11" ht="32" customHeight="1" thickBot="1">
      <c r="A66" s="286"/>
      <c r="C66" s="275" t="s">
        <v>180</v>
      </c>
      <c r="D66" s="263" t="s">
        <v>12</v>
      </c>
      <c r="E66" s="466">
        <v>1</v>
      </c>
      <c r="F66" s="472">
        <v>0</v>
      </c>
      <c r="H66" s="306" t="s">
        <v>179</v>
      </c>
      <c r="I66" s="306" t="s">
        <v>164</v>
      </c>
    </row>
    <row r="67" spans="1:11" ht="15" thickBot="1">
      <c r="A67" s="251"/>
      <c r="B67" s="247"/>
      <c r="C67" s="277" t="s">
        <v>66</v>
      </c>
      <c r="D67" s="278" t="s">
        <v>12</v>
      </c>
      <c r="E67" s="466">
        <v>1</v>
      </c>
      <c r="F67" s="472">
        <v>0</v>
      </c>
      <c r="H67" s="306" t="s">
        <v>165</v>
      </c>
      <c r="I67" s="306"/>
    </row>
    <row r="68" spans="1:11" ht="15" thickBot="1">
      <c r="A68" s="251"/>
      <c r="B68" s="247"/>
      <c r="C68" s="275"/>
      <c r="D68" s="263"/>
      <c r="E68" s="55" t="s">
        <v>86</v>
      </c>
      <c r="F68" s="281">
        <f>SUMPRODUCT('Dimagi Assumption Explanations '!E65:E67,'Dimagi Assumption Explanations '!F65:F67)</f>
        <v>25</v>
      </c>
      <c r="G68" s="222"/>
      <c r="H68" s="276"/>
    </row>
    <row r="69" spans="1:11" s="256" customFormat="1" ht="15" thickBot="1">
      <c r="A69" s="287"/>
      <c r="B69" s="246"/>
      <c r="C69" s="349"/>
      <c r="D69" s="288"/>
      <c r="E69" s="289"/>
      <c r="F69" s="290"/>
    </row>
    <row r="70" spans="1:11" ht="15" thickBot="1">
      <c r="A70" s="251"/>
      <c r="B70" s="247"/>
      <c r="C70" s="350" t="s">
        <v>74</v>
      </c>
      <c r="D70" s="291"/>
      <c r="E70" s="291"/>
      <c r="F70" s="292"/>
      <c r="H70" s="305"/>
      <c r="I70" s="98"/>
    </row>
    <row r="71" spans="1:11" s="3" customFormat="1" ht="29" thickBot="1">
      <c r="A71" s="37"/>
      <c r="B71" s="12"/>
      <c r="C71" s="351" t="s">
        <v>216</v>
      </c>
      <c r="D71" s="19" t="s">
        <v>11</v>
      </c>
      <c r="E71" s="473">
        <v>0.2</v>
      </c>
      <c r="F71" s="21"/>
      <c r="H71" s="144" t="s">
        <v>218</v>
      </c>
      <c r="I71" s="142"/>
      <c r="J71" s="10"/>
      <c r="K71" s="10"/>
    </row>
    <row r="72" spans="1:11" s="3" customFormat="1" ht="29" thickBot="1">
      <c r="A72" s="37"/>
      <c r="B72" s="12"/>
      <c r="C72" s="351" t="s">
        <v>215</v>
      </c>
      <c r="D72" s="19" t="s">
        <v>11</v>
      </c>
      <c r="E72" s="473">
        <v>0.25</v>
      </c>
      <c r="F72" s="21"/>
      <c r="H72" s="144" t="s">
        <v>217</v>
      </c>
      <c r="I72" s="142"/>
      <c r="J72" s="10"/>
      <c r="K72" s="10"/>
    </row>
    <row r="73" spans="1:11" ht="85" thickBot="1">
      <c r="A73" s="251"/>
      <c r="B73" s="247"/>
      <c r="C73" s="275" t="s">
        <v>75</v>
      </c>
      <c r="D73" s="266" t="s">
        <v>88</v>
      </c>
      <c r="E73" s="293"/>
      <c r="F73" s="472">
        <f>80+10+5</f>
        <v>95</v>
      </c>
      <c r="H73" s="144" t="s">
        <v>204</v>
      </c>
      <c r="I73" s="306" t="s">
        <v>203</v>
      </c>
    </row>
    <row r="74" spans="1:11" ht="15" thickBot="1">
      <c r="A74" s="251"/>
      <c r="B74" s="247"/>
      <c r="C74" s="275" t="s">
        <v>34</v>
      </c>
      <c r="D74" s="266" t="s">
        <v>88</v>
      </c>
      <c r="E74" s="474">
        <v>0</v>
      </c>
      <c r="F74" s="475">
        <v>200</v>
      </c>
      <c r="G74" s="222"/>
      <c r="H74" s="144" t="s">
        <v>171</v>
      </c>
      <c r="I74" s="306"/>
    </row>
    <row r="75" spans="1:11" ht="57" thickBot="1">
      <c r="A75" s="251"/>
      <c r="B75" s="247"/>
      <c r="C75" s="275" t="s">
        <v>89</v>
      </c>
      <c r="D75" s="266" t="s">
        <v>13</v>
      </c>
      <c r="E75" s="474">
        <v>1</v>
      </c>
      <c r="F75" s="475">
        <v>250</v>
      </c>
      <c r="H75" s="144" t="s">
        <v>219</v>
      </c>
      <c r="I75" s="306"/>
    </row>
    <row r="76" spans="1:11" ht="15" thickBot="1">
      <c r="A76" s="251"/>
      <c r="B76" s="247"/>
      <c r="C76" s="275" t="s">
        <v>90</v>
      </c>
      <c r="D76" s="266" t="s">
        <v>13</v>
      </c>
      <c r="E76" s="474">
        <v>0</v>
      </c>
      <c r="F76" s="475">
        <v>250</v>
      </c>
      <c r="H76" s="144" t="s">
        <v>205</v>
      </c>
      <c r="I76" s="306"/>
    </row>
    <row r="77" spans="1:11" ht="15" thickBot="1">
      <c r="A77" s="251"/>
      <c r="B77" s="247"/>
      <c r="C77" s="275" t="s">
        <v>139</v>
      </c>
      <c r="D77" s="266" t="s">
        <v>13</v>
      </c>
      <c r="E77" s="474">
        <v>0</v>
      </c>
      <c r="F77" s="475">
        <v>250</v>
      </c>
      <c r="H77" s="144" t="s">
        <v>206</v>
      </c>
      <c r="I77" s="306"/>
    </row>
    <row r="78" spans="1:11" ht="15" thickBot="1">
      <c r="A78" s="251"/>
      <c r="B78" s="247"/>
      <c r="C78" s="352" t="s">
        <v>222</v>
      </c>
      <c r="D78" s="263"/>
      <c r="E78" s="264"/>
      <c r="F78" s="265"/>
    </row>
    <row r="79" spans="1:11" ht="15" thickBot="1">
      <c r="A79" s="251"/>
      <c r="B79" s="247"/>
      <c r="C79" s="275" t="s">
        <v>76</v>
      </c>
      <c r="D79" s="294" t="s">
        <v>13</v>
      </c>
      <c r="E79" s="466">
        <v>1</v>
      </c>
      <c r="F79" s="472">
        <v>66</v>
      </c>
      <c r="H79" s="142" t="s">
        <v>77</v>
      </c>
      <c r="I79" s="144" t="s">
        <v>187</v>
      </c>
    </row>
    <row r="80" spans="1:11" ht="43" thickBot="1">
      <c r="A80" s="251"/>
      <c r="B80" s="247"/>
      <c r="C80" s="275" t="s">
        <v>85</v>
      </c>
      <c r="D80" s="294" t="s">
        <v>13</v>
      </c>
      <c r="E80" s="466">
        <v>1</v>
      </c>
      <c r="F80" s="472">
        <v>132</v>
      </c>
      <c r="H80" s="144" t="s">
        <v>221</v>
      </c>
      <c r="I80" s="144" t="s">
        <v>220</v>
      </c>
    </row>
    <row r="81" spans="1:11" ht="15" thickBot="1">
      <c r="A81" s="260"/>
      <c r="B81" s="247"/>
      <c r="C81" s="353"/>
      <c r="D81" s="295"/>
      <c r="E81" s="56" t="s">
        <v>26</v>
      </c>
      <c r="F81" s="281">
        <f>SUMPRODUCT('Dimagi Assumption Explanations '!E79:E80,'Dimagi Assumption Explanations '!F79:F80)</f>
        <v>198</v>
      </c>
    </row>
    <row r="82" spans="1:11" ht="15" thickBot="1">
      <c r="A82" s="286"/>
      <c r="C82" s="354"/>
      <c r="D82" s="286"/>
      <c r="E82" s="296"/>
      <c r="F82" s="297"/>
    </row>
    <row r="83" spans="1:11" ht="14" hidden="1" customHeight="1">
      <c r="A83" s="286"/>
      <c r="C83" s="355"/>
      <c r="D83" s="298"/>
      <c r="E83" s="298"/>
      <c r="F83" s="298"/>
    </row>
    <row r="84" spans="1:11" ht="13" hidden="1" customHeight="1" thickBot="1">
      <c r="A84" s="286"/>
      <c r="C84" s="354"/>
      <c r="D84" s="286"/>
      <c r="E84" s="296"/>
      <c r="F84" s="297"/>
    </row>
    <row r="85" spans="1:11" s="247" customFormat="1" ht="16" thickBot="1">
      <c r="A85" s="239"/>
      <c r="C85" s="299" t="s">
        <v>115</v>
      </c>
      <c r="D85" s="300" t="s">
        <v>1</v>
      </c>
      <c r="E85" s="300" t="s">
        <v>243</v>
      </c>
      <c r="F85" s="301" t="s">
        <v>5</v>
      </c>
      <c r="I85" s="221"/>
      <c r="J85" s="221"/>
      <c r="K85" s="221"/>
    </row>
    <row r="86" spans="1:11" s="247" customFormat="1" ht="57" thickBot="1">
      <c r="A86" s="239"/>
      <c r="C86" s="337" t="s">
        <v>114</v>
      </c>
      <c r="D86" s="302">
        <f>TCO_INPUTS!E85</f>
        <v>250</v>
      </c>
      <c r="E86" s="302">
        <f>TCO_INPUTS!F85</f>
        <v>500</v>
      </c>
      <c r="F86" s="302">
        <f>TCO_INPUTS!G85</f>
        <v>500</v>
      </c>
      <c r="H86" s="144" t="s">
        <v>282</v>
      </c>
      <c r="I86" s="144" t="s">
        <v>283</v>
      </c>
      <c r="J86" s="221"/>
      <c r="K86" s="221"/>
    </row>
    <row r="87" spans="1:11" s="247" customFormat="1" ht="43" thickBot="1">
      <c r="A87" s="239"/>
      <c r="C87" s="337" t="s">
        <v>116</v>
      </c>
      <c r="D87" s="302">
        <f>IF(D83&lt;50,0,IF(D86=0,(D83-50)*1,IF(D83&lt;D86,0,(D83-D86))))</f>
        <v>0</v>
      </c>
      <c r="E87" s="302">
        <f t="shared" ref="E87:F87" si="0">IF(E83&lt;50,0,IF(E86=0,(E83-50)*1,IF(E83&lt;E86,0,(E83-E86))))</f>
        <v>0</v>
      </c>
      <c r="F87" s="302">
        <f t="shared" si="0"/>
        <v>0</v>
      </c>
      <c r="H87" s="144" t="s">
        <v>244</v>
      </c>
      <c r="I87" s="142" t="s">
        <v>242</v>
      </c>
      <c r="J87" s="221"/>
      <c r="K87" s="221"/>
    </row>
    <row r="88" spans="1:11" ht="43" thickBot="1">
      <c r="C88" s="359" t="s">
        <v>126</v>
      </c>
      <c r="D88" s="302">
        <f>D86+D87</f>
        <v>250</v>
      </c>
      <c r="E88" s="302">
        <f t="shared" ref="E88:F88" si="1">E86+E87</f>
        <v>500</v>
      </c>
      <c r="F88" s="302">
        <f t="shared" si="1"/>
        <v>500</v>
      </c>
      <c r="H88" s="144" t="s">
        <v>246</v>
      </c>
      <c r="I88" s="144" t="s">
        <v>245</v>
      </c>
    </row>
  </sheetData>
  <mergeCells count="2">
    <mergeCell ref="C10:F10"/>
    <mergeCell ref="H10:I10"/>
  </mergeCells>
  <phoneticPr fontId="37" type="noConversion"/>
  <dataValidations count="1">
    <dataValidation type="list" allowBlank="1" showInputMessage="1" showErrorMessage="1" sqref="D15:F15">
      <formula1>$D$1:$D$5</formula1>
    </dataValidation>
  </dataValidations>
  <pageMargins left="0.7" right="0.7" top="0.75" bottom="0.75" header="0.3" footer="0.3"/>
  <pageSetup scale="52" fitToHeight="4" orientation="landscape"/>
  <rowBreaks count="1" manualBreakCount="1">
    <brk id="39" max="11" man="1"/>
  </rowBreaks>
  <colBreaks count="1" manualBreakCount="1">
    <brk id="9" min="6" max="88" man="1"/>
  </colBreaks>
  <drawing r:id="rId1"/>
  <extLst>
    <ext xmlns:mx="http://schemas.microsoft.com/office/mac/excel/2008/main" uri="{64002731-A6B0-56B0-2670-7721B7C09600}">
      <mx:PLV Mode="0" OnePage="0" WScale="44"/>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TCO_INPUTS</vt:lpstr>
      <vt:lpstr>TCO_CALCULATIONS</vt:lpstr>
      <vt:lpstr>TCO_OUTPUT</vt:lpstr>
      <vt:lpstr>Assumptions--&gt;</vt:lpstr>
      <vt:lpstr>Dimagi Assumption Explanations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cpowers</dc:creator>
  <cp:lastModifiedBy>Audrey Philippot</cp:lastModifiedBy>
  <cp:lastPrinted>2016-03-23T19:08:40Z</cp:lastPrinted>
  <dcterms:created xsi:type="dcterms:W3CDTF">2011-09-23T16:12:01Z</dcterms:created>
  <dcterms:modified xsi:type="dcterms:W3CDTF">2018-09-05T22:17:15Z</dcterms:modified>
</cp:coreProperties>
</file>